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1\FINANCIEROS\SEPTIEMBRE\"/>
    </mc:Choice>
  </mc:AlternateContent>
  <bookViews>
    <workbookView xWindow="240" yWindow="210" windowWidth="15195" windowHeight="8325"/>
  </bookViews>
  <sheets>
    <sheet name="SEPTIEMBR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calcPr calcId="152511"/>
</workbook>
</file>

<file path=xl/calcChain.xml><?xml version="1.0" encoding="utf-8"?>
<calcChain xmlns="http://schemas.openxmlformats.org/spreadsheetml/2006/main">
  <c r="J59" i="2" l="1"/>
  <c r="F59" i="2"/>
  <c r="I58" i="2"/>
  <c r="E58" i="2"/>
  <c r="H57" i="2"/>
  <c r="D57" i="2"/>
  <c r="G56" i="2"/>
  <c r="J55" i="2"/>
  <c r="F55" i="2"/>
  <c r="I54" i="2"/>
  <c r="E54" i="2"/>
  <c r="H53" i="2"/>
  <c r="D53" i="2"/>
  <c r="G52" i="2"/>
  <c r="J51" i="2"/>
  <c r="F51" i="2"/>
  <c r="I50" i="2"/>
  <c r="E50" i="2"/>
  <c r="H49" i="2"/>
  <c r="D49" i="2"/>
  <c r="G48" i="2"/>
  <c r="J47" i="2"/>
  <c r="F47" i="2"/>
  <c r="I46" i="2"/>
  <c r="E46" i="2"/>
  <c r="H45" i="2"/>
  <c r="D45" i="2"/>
  <c r="G44" i="2"/>
  <c r="J43" i="2"/>
  <c r="F43" i="2"/>
  <c r="I42" i="2"/>
  <c r="E42" i="2"/>
  <c r="H41" i="2"/>
  <c r="D41" i="2"/>
  <c r="G40" i="2"/>
  <c r="J39" i="2"/>
  <c r="F39" i="2"/>
  <c r="I38" i="2"/>
  <c r="E38" i="2"/>
  <c r="H37" i="2"/>
  <c r="D37" i="2"/>
  <c r="G36" i="2"/>
  <c r="J35" i="2"/>
  <c r="F35" i="2"/>
  <c r="I34" i="2"/>
  <c r="E34" i="2"/>
  <c r="H33" i="2"/>
  <c r="D33" i="2"/>
  <c r="G32" i="2"/>
  <c r="J31" i="2"/>
  <c r="F31" i="2"/>
  <c r="I30" i="2"/>
  <c r="E30" i="2"/>
  <c r="H29" i="2"/>
  <c r="D29" i="2"/>
  <c r="G28" i="2"/>
  <c r="J27" i="2"/>
  <c r="F27" i="2"/>
  <c r="I26" i="2"/>
  <c r="E26" i="2"/>
  <c r="H25" i="2"/>
  <c r="D25" i="2"/>
  <c r="G24" i="2"/>
  <c r="J23" i="2"/>
  <c r="F23" i="2"/>
  <c r="I22" i="2"/>
  <c r="E22" i="2"/>
  <c r="H21" i="2"/>
  <c r="D21" i="2"/>
  <c r="G20" i="2"/>
  <c r="J19" i="2"/>
  <c r="F19" i="2"/>
  <c r="I18" i="2"/>
  <c r="E18" i="2"/>
  <c r="H17" i="2"/>
  <c r="D17" i="2"/>
  <c r="G16" i="2"/>
  <c r="J15" i="2"/>
  <c r="F15" i="2"/>
  <c r="I14" i="2"/>
  <c r="E14" i="2"/>
  <c r="H13" i="2"/>
  <c r="D13" i="2"/>
  <c r="G12" i="2"/>
  <c r="J11" i="2"/>
  <c r="F11" i="2"/>
  <c r="I10" i="2"/>
  <c r="E10" i="2"/>
  <c r="H9" i="2"/>
  <c r="D9" i="2"/>
  <c r="G8" i="2"/>
  <c r="J7" i="2"/>
  <c r="F7" i="2"/>
  <c r="I6" i="2"/>
  <c r="E6" i="2"/>
  <c r="H5" i="2"/>
  <c r="D5" i="2"/>
  <c r="G4" i="2"/>
  <c r="J3" i="2"/>
  <c r="F3" i="2"/>
  <c r="I2" i="2"/>
  <c r="E2" i="2"/>
  <c r="I59" i="2"/>
  <c r="E59" i="2"/>
  <c r="H58" i="2"/>
  <c r="D58" i="2"/>
  <c r="G57" i="2"/>
  <c r="J56" i="2"/>
  <c r="F56" i="2"/>
  <c r="I55" i="2"/>
  <c r="E55" i="2"/>
  <c r="H54" i="2"/>
  <c r="D54" i="2"/>
  <c r="G53" i="2"/>
  <c r="J52" i="2"/>
  <c r="F52" i="2"/>
  <c r="I51" i="2"/>
  <c r="E51" i="2"/>
  <c r="H50" i="2"/>
  <c r="D50" i="2"/>
  <c r="G49" i="2"/>
  <c r="J48" i="2"/>
  <c r="F48" i="2"/>
  <c r="I47" i="2"/>
  <c r="E47" i="2"/>
  <c r="H46" i="2"/>
  <c r="D46" i="2"/>
  <c r="G45" i="2"/>
  <c r="J44" i="2"/>
  <c r="F44" i="2"/>
  <c r="I43" i="2"/>
  <c r="E43" i="2"/>
  <c r="H42" i="2"/>
  <c r="D42" i="2"/>
  <c r="G41" i="2"/>
  <c r="J40" i="2"/>
  <c r="F40" i="2"/>
  <c r="I39" i="2"/>
  <c r="E39" i="2"/>
  <c r="H38" i="2"/>
  <c r="D38" i="2"/>
  <c r="G37" i="2"/>
  <c r="J36" i="2"/>
  <c r="F36" i="2"/>
  <c r="I35" i="2"/>
  <c r="E35" i="2"/>
  <c r="H34" i="2"/>
  <c r="D34" i="2"/>
  <c r="G33" i="2"/>
  <c r="J32" i="2"/>
  <c r="F32" i="2"/>
  <c r="I31" i="2"/>
  <c r="E31" i="2"/>
  <c r="H30" i="2"/>
  <c r="D30" i="2"/>
  <c r="G29" i="2"/>
  <c r="J28" i="2"/>
  <c r="F28" i="2"/>
  <c r="I27" i="2"/>
  <c r="E27" i="2"/>
  <c r="H26" i="2"/>
  <c r="D26" i="2"/>
  <c r="G25" i="2"/>
  <c r="J24" i="2"/>
  <c r="F24" i="2"/>
  <c r="I23" i="2"/>
  <c r="E23" i="2"/>
  <c r="H22" i="2"/>
  <c r="D22" i="2"/>
  <c r="G21" i="2"/>
  <c r="J20" i="2"/>
  <c r="F20" i="2"/>
  <c r="I19" i="2"/>
  <c r="E19" i="2"/>
  <c r="H18" i="2"/>
  <c r="D18" i="2"/>
  <c r="G17" i="2"/>
  <c r="J16" i="2"/>
  <c r="F16" i="2"/>
  <c r="I15" i="2"/>
  <c r="E15" i="2"/>
  <c r="H14" i="2"/>
  <c r="D14" i="2"/>
  <c r="G13" i="2"/>
  <c r="J12" i="2"/>
  <c r="F12" i="2"/>
  <c r="I11" i="2"/>
  <c r="E11" i="2"/>
  <c r="H10" i="2"/>
  <c r="D10" i="2"/>
  <c r="G9" i="2"/>
  <c r="J8" i="2"/>
  <c r="F8" i="2"/>
  <c r="I7" i="2"/>
  <c r="E7" i="2"/>
  <c r="H6" i="2"/>
  <c r="D6" i="2"/>
  <c r="G5" i="2"/>
  <c r="J4" i="2"/>
  <c r="F4" i="2"/>
  <c r="I3" i="2"/>
  <c r="E3" i="2"/>
  <c r="H2" i="2"/>
  <c r="D2" i="2"/>
  <c r="H59" i="2"/>
  <c r="D59" i="2"/>
  <c r="G58" i="2"/>
  <c r="J57" i="2"/>
  <c r="F57" i="2"/>
  <c r="I56" i="2"/>
  <c r="E56" i="2"/>
  <c r="H55" i="2"/>
  <c r="D55" i="2"/>
  <c r="G54" i="2"/>
  <c r="J53" i="2"/>
  <c r="F53" i="2"/>
  <c r="I52" i="2"/>
  <c r="E52" i="2"/>
  <c r="H51" i="2"/>
  <c r="D51" i="2"/>
  <c r="G50" i="2"/>
  <c r="J49" i="2"/>
  <c r="F49" i="2"/>
  <c r="I48" i="2"/>
  <c r="E48" i="2"/>
  <c r="H47" i="2"/>
  <c r="D47" i="2"/>
  <c r="G46" i="2"/>
  <c r="J45" i="2"/>
  <c r="F45" i="2"/>
  <c r="I44" i="2"/>
  <c r="E44" i="2"/>
  <c r="H43" i="2"/>
  <c r="D43" i="2"/>
  <c r="G42" i="2"/>
  <c r="J41" i="2"/>
  <c r="F41" i="2"/>
  <c r="I40" i="2"/>
  <c r="E40" i="2"/>
  <c r="H39" i="2"/>
  <c r="D39" i="2"/>
  <c r="G38" i="2"/>
  <c r="J37" i="2"/>
  <c r="F37" i="2"/>
  <c r="I36" i="2"/>
  <c r="E36" i="2"/>
  <c r="H35" i="2"/>
  <c r="D35" i="2"/>
  <c r="G34" i="2"/>
  <c r="J33" i="2"/>
  <c r="F33" i="2"/>
  <c r="I32" i="2"/>
  <c r="E32" i="2"/>
  <c r="H31" i="2"/>
  <c r="D31" i="2"/>
  <c r="G30" i="2"/>
  <c r="J29" i="2"/>
  <c r="F29" i="2"/>
  <c r="I28" i="2"/>
  <c r="E28" i="2"/>
  <c r="H27" i="2"/>
  <c r="D27" i="2"/>
  <c r="G26" i="2"/>
  <c r="J25" i="2"/>
  <c r="F25" i="2"/>
  <c r="I24" i="2"/>
  <c r="E24" i="2"/>
  <c r="H23" i="2"/>
  <c r="D23" i="2"/>
  <c r="G22" i="2"/>
  <c r="J21" i="2"/>
  <c r="F21" i="2"/>
  <c r="I20" i="2"/>
  <c r="E20" i="2"/>
  <c r="H19" i="2"/>
  <c r="D19" i="2"/>
  <c r="G18" i="2"/>
  <c r="J17" i="2"/>
  <c r="F17" i="2"/>
  <c r="I16" i="2"/>
  <c r="E16" i="2"/>
  <c r="H15" i="2"/>
  <c r="D15" i="2"/>
  <c r="G14" i="2"/>
  <c r="J13" i="2"/>
  <c r="F13" i="2"/>
  <c r="I12" i="2"/>
  <c r="E12" i="2"/>
  <c r="H11" i="2"/>
  <c r="D11" i="2"/>
  <c r="G10" i="2"/>
  <c r="J9" i="2"/>
  <c r="F9" i="2"/>
  <c r="I8" i="2"/>
  <c r="E8" i="2"/>
  <c r="H7" i="2"/>
  <c r="D7" i="2"/>
  <c r="G6" i="2"/>
  <c r="J5" i="2"/>
  <c r="F5" i="2"/>
  <c r="I4" i="2"/>
  <c r="E4" i="2"/>
  <c r="H3" i="2"/>
  <c r="D3" i="2"/>
  <c r="G2" i="2"/>
  <c r="G59" i="2"/>
  <c r="J58" i="2"/>
  <c r="F58" i="2"/>
  <c r="I57" i="2"/>
  <c r="E57" i="2"/>
  <c r="H56" i="2"/>
  <c r="D56" i="2"/>
  <c r="G55" i="2"/>
  <c r="J54" i="2"/>
  <c r="F54" i="2"/>
  <c r="I53" i="2"/>
  <c r="E53" i="2"/>
  <c r="H52" i="2"/>
  <c r="D52" i="2"/>
  <c r="G51" i="2"/>
  <c r="J50" i="2"/>
  <c r="F50" i="2"/>
  <c r="I49" i="2"/>
  <c r="E49" i="2"/>
  <c r="D48" i="2"/>
  <c r="J46" i="2"/>
  <c r="F46" i="2"/>
  <c r="I45" i="2"/>
  <c r="H48" i="2"/>
  <c r="J18" i="2"/>
  <c r="J2" i="2"/>
  <c r="G47" i="2"/>
  <c r="G43" i="2"/>
  <c r="E41" i="2"/>
  <c r="J38" i="2"/>
  <c r="H36" i="2"/>
  <c r="F34" i="2"/>
  <c r="D32" i="2"/>
  <c r="I29" i="2"/>
  <c r="G27" i="2"/>
  <c r="E25" i="2"/>
  <c r="J22" i="2"/>
  <c r="H20" i="2"/>
  <c r="F18" i="2"/>
  <c r="D16" i="2"/>
  <c r="I13" i="2"/>
  <c r="G11" i="2"/>
  <c r="E9" i="2"/>
  <c r="J6" i="2"/>
  <c r="H4" i="2"/>
  <c r="F2" i="2"/>
  <c r="E45" i="2"/>
  <c r="J42" i="2"/>
  <c r="H40" i="2"/>
  <c r="F38" i="2"/>
  <c r="D36" i="2"/>
  <c r="I33" i="2"/>
  <c r="E29" i="2"/>
  <c r="J26" i="2"/>
  <c r="H24" i="2"/>
  <c r="F22" i="2"/>
  <c r="D20" i="2"/>
  <c r="I17" i="2"/>
  <c r="E13" i="2"/>
  <c r="J10" i="2"/>
  <c r="F6" i="2"/>
  <c r="D4" i="2"/>
  <c r="H44" i="2"/>
  <c r="D40" i="2"/>
  <c r="I37" i="2"/>
  <c r="E33" i="2"/>
  <c r="H28" i="2"/>
  <c r="F26" i="2"/>
  <c r="D24" i="2"/>
  <c r="G19" i="2"/>
  <c r="J14" i="2"/>
  <c r="F10" i="2"/>
  <c r="I5" i="2"/>
  <c r="I41" i="2"/>
  <c r="E37" i="2"/>
  <c r="H32" i="2"/>
  <c r="D28" i="2"/>
  <c r="G23" i="2"/>
  <c r="F14" i="2"/>
  <c r="D12" i="2"/>
  <c r="G7" i="2"/>
  <c r="G31" i="2"/>
  <c r="G15" i="2"/>
  <c r="H8" i="2"/>
  <c r="F42" i="2"/>
  <c r="G35" i="2"/>
  <c r="J30" i="2"/>
  <c r="I21" i="2"/>
  <c r="E17" i="2"/>
  <c r="H12" i="2"/>
  <c r="D8" i="2"/>
  <c r="G3" i="2"/>
  <c r="D44" i="2"/>
  <c r="G39" i="2"/>
  <c r="J34" i="2"/>
  <c r="F30" i="2"/>
  <c r="I25" i="2"/>
  <c r="E21" i="2"/>
  <c r="H16" i="2"/>
  <c r="I9" i="2"/>
  <c r="E5" i="2"/>
</calcChain>
</file>

<file path=xl/sharedStrings.xml><?xml version="1.0" encoding="utf-8"?>
<sst xmlns="http://schemas.openxmlformats.org/spreadsheetml/2006/main" count="240" uniqueCount="205">
  <si>
    <t>Denominación de las Deudas</t>
  </si>
  <si>
    <t>Moneda de Contratación</t>
  </si>
  <si>
    <t>Institución o País Acreedor</t>
  </si>
  <si>
    <t>Endeudamiento Neto del Periodo</t>
  </si>
  <si>
    <t>Depuración o Conciliación</t>
  </si>
  <si>
    <t>Variación del Endeudamiento del Periodo</t>
  </si>
  <si>
    <t>Amortización 
Bruta</t>
  </si>
  <si>
    <t>Colocación 
Bruta</t>
  </si>
  <si>
    <t>Operaciones de Endeudamiento del Periodo</t>
  </si>
  <si>
    <t>Movimientos</t>
  </si>
  <si>
    <t>Saldo Inicial del Periodo</t>
  </si>
  <si>
    <t>Saldo Final del Periodo</t>
  </si>
  <si>
    <t>Corto Plazo</t>
  </si>
  <si>
    <t>DEUDA PÚBLICA</t>
  </si>
  <si>
    <t>Instituciones de Crédito</t>
  </si>
  <si>
    <t>Títulos y Valores</t>
  </si>
  <si>
    <t>Arrendamientos Financieros</t>
  </si>
  <si>
    <t>Deuda Interna</t>
  </si>
  <si>
    <t>Deuda Externa</t>
  </si>
  <si>
    <t>Organismos Financieros Internacionales</t>
  </si>
  <si>
    <t>Deuda Bilateral</t>
  </si>
  <si>
    <t>Largo Plazo</t>
  </si>
  <si>
    <t>Estado Analítico de Deuda y Otros Pasivos</t>
  </si>
  <si>
    <t>SIAPA</t>
  </si>
  <si>
    <t>1..9</t>
  </si>
  <si>
    <t>22/10/2021</t>
  </si>
  <si>
    <t>2021</t>
  </si>
  <si>
    <t>Cuenta de mayor</t>
  </si>
  <si>
    <t/>
  </si>
  <si>
    <t>Cuenta Alternativa A</t>
  </si>
  <si>
    <t>SI</t>
  </si>
  <si>
    <t>AMB</t>
  </si>
  <si>
    <t>CLB</t>
  </si>
  <si>
    <t>ENP</t>
  </si>
  <si>
    <t>DOC</t>
  </si>
  <si>
    <t>VEP</t>
  </si>
  <si>
    <t>SM</t>
  </si>
  <si>
    <t>Resultado total</t>
  </si>
  <si>
    <t>Analítico de Deuda P</t>
  </si>
  <si>
    <t>CSDD</t>
  </si>
  <si>
    <t>Deuda Pública</t>
  </si>
  <si>
    <t>CSDDA</t>
  </si>
  <si>
    <t>CORTO PLAZO</t>
  </si>
  <si>
    <t>CSDDA1</t>
  </si>
  <si>
    <t>DEUDA PUBLICA INTERI</t>
  </si>
  <si>
    <t>CSDDA11</t>
  </si>
  <si>
    <t>Instituciones de Cré</t>
  </si>
  <si>
    <t>CSDDA111</t>
  </si>
  <si>
    <t>CRED BANCARIO CP</t>
  </si>
  <si>
    <t>2101001</t>
  </si>
  <si>
    <t>2131001001</t>
  </si>
  <si>
    <t>LARGO PLAZO</t>
  </si>
  <si>
    <t>CSDDA2</t>
  </si>
  <si>
    <t>CSDDA21</t>
  </si>
  <si>
    <t>CSDDA211</t>
  </si>
  <si>
    <t>CRED BANC LP</t>
  </si>
  <si>
    <t>2201001</t>
  </si>
  <si>
    <t>2233001001</t>
  </si>
  <si>
    <t>OTROS PASIVOS</t>
  </si>
  <si>
    <t>CSDDA3</t>
  </si>
  <si>
    <t xml:space="preserve"> CORTO PLAZO</t>
  </si>
  <si>
    <t>CSDDA31</t>
  </si>
  <si>
    <t>CUENTAS POR PAGAR CO</t>
  </si>
  <si>
    <t>CSDDA311</t>
  </si>
  <si>
    <t>PROV Y ACREEDORES</t>
  </si>
  <si>
    <t>2102001</t>
  </si>
  <si>
    <t>2112002001</t>
  </si>
  <si>
    <t>CONTRATISTAS</t>
  </si>
  <si>
    <t>2102002</t>
  </si>
  <si>
    <t>2113002002</t>
  </si>
  <si>
    <t>FUNC Y EMPLEADOS</t>
  </si>
  <si>
    <t>2102003</t>
  </si>
  <si>
    <t>2111002003</t>
  </si>
  <si>
    <t>IMPUESTOS POR PAGAR</t>
  </si>
  <si>
    <t>2102004</t>
  </si>
  <si>
    <t>2117002004</t>
  </si>
  <si>
    <t>CORREC VAL ME PROV</t>
  </si>
  <si>
    <t>2102006</t>
  </si>
  <si>
    <t>2112002006</t>
  </si>
  <si>
    <t>CAM NAC IND CONST</t>
  </si>
  <si>
    <t>2103001</t>
  </si>
  <si>
    <t>2117003001</t>
  </si>
  <si>
    <t>SEFUPU</t>
  </si>
  <si>
    <t>2103002</t>
  </si>
  <si>
    <t>2117003002</t>
  </si>
  <si>
    <t>SDOS Y SAL POR PAG</t>
  </si>
  <si>
    <t>2103006</t>
  </si>
  <si>
    <t>2111003006</t>
  </si>
  <si>
    <t>APORTACIONES VOLUNT</t>
  </si>
  <si>
    <t>2103010</t>
  </si>
  <si>
    <t>2119003010</t>
  </si>
  <si>
    <t>PENSIONES ALIMENT</t>
  </si>
  <si>
    <t>2103011</t>
  </si>
  <si>
    <t>2117003011</t>
  </si>
  <si>
    <t>RECAUD DIVERSAS  CP</t>
  </si>
  <si>
    <t>2103012</t>
  </si>
  <si>
    <t>2111003012</t>
  </si>
  <si>
    <t>O P EJECUTADAS ANTER</t>
  </si>
  <si>
    <t>2103013</t>
  </si>
  <si>
    <t>2113003013</t>
  </si>
  <si>
    <t>PROV  UNICA VEZ</t>
  </si>
  <si>
    <t>2103014</t>
  </si>
  <si>
    <t>2112003014</t>
  </si>
  <si>
    <t>SDOS Y SAL CC</t>
  </si>
  <si>
    <t>2103017</t>
  </si>
  <si>
    <t>2111003017</t>
  </si>
  <si>
    <t>DONATIVO FIDEICOMISO</t>
  </si>
  <si>
    <t>2103019</t>
  </si>
  <si>
    <t>2117003019</t>
  </si>
  <si>
    <t>COMPENSACION EM/RF</t>
  </si>
  <si>
    <t>2104001</t>
  </si>
  <si>
    <t>2112004001</t>
  </si>
  <si>
    <t>CORREC COMP EM/RF</t>
  </si>
  <si>
    <t>2104004</t>
  </si>
  <si>
    <t>2112004004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</si>
  <si>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</si>
  <si>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</si>
  <si>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</si>
  <si>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</si>
  <si>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</si>
  <si>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</si>
  <si>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</si>
  <si>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</si>
  <si>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</si>
  <si>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</si>
  <si>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</si>
  <si>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</si>
  <si>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</si>
  <si>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</si>
  <si>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</si>
  <si>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</si>
  <si>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</si>
  <si>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</si>
  <si>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</si>
  <si>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</si>
  <si>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</si>
  <si>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</si>
  <si>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</si>
  <si>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</si>
  <si>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</si>
  <si>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</si>
  <si>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</si>
  <si>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PASIVOS DIFERIDOS A</t>
  </si>
  <si>
    <t>CSDDA313</t>
  </si>
  <si>
    <t>ANT USUARIOS CF</t>
  </si>
  <si>
    <t>2108001</t>
  </si>
  <si>
    <t>2151008001</t>
  </si>
  <si>
    <t>ANT USUARIOS SM</t>
  </si>
  <si>
    <t>2108002</t>
  </si>
  <si>
    <t>2151008002</t>
  </si>
  <si>
    <t>PROVISIONES A CORTO</t>
  </si>
  <si>
    <t>CSDDA315</t>
  </si>
  <si>
    <t>ISR ANTICIPADO</t>
  </si>
  <si>
    <t>2103003</t>
  </si>
  <si>
    <t>2179003003</t>
  </si>
  <si>
    <t>AGUINALDO X PAGAR</t>
  </si>
  <si>
    <t>2103009</t>
  </si>
  <si>
    <t>2111003009</t>
  </si>
  <si>
    <t>SDOS Y SALARIOS SIAP</t>
  </si>
  <si>
    <t>2103021</t>
  </si>
  <si>
    <t>2111003021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</si>
  <si>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</si>
  <si>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</si>
  <si>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</si>
  <si>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</si>
  <si>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</si>
  <si>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</si>
  <si>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</si>
  <si>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</si>
  <si>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</si>
  <si>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</si>
  <si>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</si>
  <si>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</si>
  <si>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</si>
  <si>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</si>
  <si>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</si>
  <si>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</si>
  <si>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</si>
  <si>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</si>
  <si>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</si>
  <si>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</si>
  <si>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</si>
  <si>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 xml:space="preserve"> LARGO PLAZO</t>
  </si>
  <si>
    <t>CSDDA32</t>
  </si>
  <si>
    <t>PROVISIONES A LARGO</t>
  </si>
  <si>
    <t>CSDDA325</t>
  </si>
  <si>
    <t>PROV JUICIOS Y LITIG</t>
  </si>
  <si>
    <t>2103018</t>
  </si>
  <si>
    <t>2261003018</t>
  </si>
  <si>
    <t>No asignado Cuenta de mayor(s)</t>
  </si>
  <si>
    <t xml:space="preserve">                                 SISTEMA INTERMUNICIPAL DE LOS SERVICIOS DE AGUA POTABLE Y ALCANTARILLADO (SIAPA)</t>
  </si>
  <si>
    <t>(Cifras en pesos)</t>
  </si>
  <si>
    <t>Pesos</t>
  </si>
  <si>
    <t>Institución Bancaria</t>
  </si>
  <si>
    <t>Subtotal de Deuda Pública a Corto Plazo</t>
  </si>
  <si>
    <t>Subtotal de Deuda Pública a Largo Plazo</t>
  </si>
  <si>
    <t>Total de Otros Pasivos</t>
  </si>
  <si>
    <t>Total de Deuda Pública y Otros Pasivos</t>
  </si>
  <si>
    <t xml:space="preserve">      Bajo protesta de decir verdad declaramos que los Estados Financieros y sus Notas son razonablemente correctos y son responsabilidad del emisor.</t>
  </si>
  <si>
    <t>Proveed y Acreed</t>
  </si>
  <si>
    <t>9</t>
  </si>
  <si>
    <t>Enero</t>
  </si>
  <si>
    <t>Septiembre</t>
  </si>
  <si>
    <t>1</t>
  </si>
  <si>
    <t xml:space="preserve">Del 1 de Enero al 30 de Septiembre del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</si>
</sst>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64" formatCode="_(* #,##0.00_);_(* \(#,##0.00\);_(* &quot;-&quot;??_);_(@_)"/>
    <numFmt numFmtId="165" formatCode="&quot;*&quot;"/>
    <numFmt numFmtId="166" formatCode="#,##0.00\ &quot;MXN&quot;"/>
    <numFmt numFmtId="167" formatCode="#,##0;\-\ #,##0"/>
    <numFmt numFmtId="168" formatCode="#,##0.00\ %"/>
    <numFmt numFmtId="169" formatCode="#,##0.00\ &quot;MXN&quot;;\-\ #,##0.00\ &quot;MXN&quot;"/>
    <numFmt numFmtId="170" formatCode="&quot;*&quot;;&quot;*&quot;"/>
    <numFmt numFmtId="171" formatCode="#,##0.00\ %;\-\ #,##0.00\ %"/>
  </numFmts>
  <fonts count="3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6">
    <xf numFmtId="0" fontId="0" fillId="0" borderId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8" fillId="2" borderId="0" applyNumberFormat="0" applyBorder="0" applyAlignment="0" applyProtection="0"/>
    <xf numFmtId="0" fontId="18" fillId="6" borderId="0" applyNumberFormat="0" applyBorder="0" applyAlignment="0" applyProtection="0"/>
    <xf numFmtId="0" fontId="16" fillId="6" borderId="1" applyNumberFormat="0" applyAlignment="0" applyProtection="0"/>
    <xf numFmtId="0" fontId="20" fillId="3" borderId="8" applyNumberFormat="0" applyAlignment="0" applyProtection="0"/>
    <xf numFmtId="0" fontId="9" fillId="3" borderId="1" applyNumberFormat="0" applyAlignment="0" applyProtection="0"/>
    <xf numFmtId="0" fontId="17" fillId="0" borderId="6" applyNumberFormat="0" applyFill="0" applyAlignment="0" applyProtection="0"/>
    <xf numFmtId="0" fontId="10" fillId="4" borderId="2" applyNumberFormat="0" applyAlignment="0" applyProtection="0"/>
    <xf numFmtId="0" fontId="30" fillId="0" borderId="0" applyNumberFormat="0" applyFill="0" applyBorder="0" applyAlignment="0" applyProtection="0"/>
    <xf numFmtId="0" fontId="19" fillId="7" borderId="7" applyNumberFormat="0" applyFont="0" applyAlignment="0" applyProtection="0"/>
    <xf numFmtId="0" fontId="11" fillId="0" borderId="0" applyNumberFormat="0" applyFill="0" applyBorder="0" applyAlignment="0" applyProtection="0"/>
    <xf numFmtId="0" fontId="29" fillId="0" borderId="12" applyNumberFormat="0" applyFill="0" applyAlignment="0" applyProtection="0"/>
    <xf numFmtId="4" fontId="21" fillId="8" borderId="9" applyNumberFormat="0" applyProtection="0">
      <alignment vertical="center"/>
    </xf>
    <xf numFmtId="4" fontId="22" fillId="8" borderId="9" applyNumberFormat="0" applyProtection="0">
      <alignment vertical="center"/>
    </xf>
    <xf numFmtId="4" fontId="21" fillId="8" borderId="9" applyNumberFormat="0" applyProtection="0">
      <alignment horizontal="left" vertical="center" indent="1"/>
    </xf>
    <xf numFmtId="0" fontId="21" fillId="8" borderId="9" applyNumberFormat="0" applyProtection="0">
      <alignment horizontal="left" vertical="top" indent="1"/>
    </xf>
    <xf numFmtId="4" fontId="21" fillId="9" borderId="0" applyNumberFormat="0" applyProtection="0">
      <alignment horizontal="left" vertical="center" indent="1"/>
    </xf>
    <xf numFmtId="4" fontId="23" fillId="10" borderId="9" applyNumberFormat="0" applyProtection="0">
      <alignment horizontal="right" vertical="center"/>
    </xf>
    <xf numFmtId="4" fontId="23" fillId="11" borderId="9" applyNumberFormat="0" applyProtection="0">
      <alignment horizontal="right" vertical="center"/>
    </xf>
    <xf numFmtId="4" fontId="23" fillId="12" borderId="9" applyNumberFormat="0" applyProtection="0">
      <alignment horizontal="right" vertical="center"/>
    </xf>
    <xf numFmtId="4" fontId="23" fillId="13" borderId="9" applyNumberFormat="0" applyProtection="0">
      <alignment horizontal="right" vertical="center"/>
    </xf>
    <xf numFmtId="4" fontId="23" fillId="14" borderId="9" applyNumberFormat="0" applyProtection="0">
      <alignment horizontal="right" vertical="center"/>
    </xf>
    <xf numFmtId="4" fontId="23" fillId="15" borderId="9" applyNumberFormat="0" applyProtection="0">
      <alignment horizontal="right" vertical="center"/>
    </xf>
    <xf numFmtId="4" fontId="23" fillId="16" borderId="9" applyNumberFormat="0" applyProtection="0">
      <alignment horizontal="right" vertical="center"/>
    </xf>
    <xf numFmtId="4" fontId="23" fillId="17" borderId="9" applyNumberFormat="0" applyProtection="0">
      <alignment horizontal="right" vertical="center"/>
    </xf>
    <xf numFmtId="4" fontId="23" fillId="18" borderId="9" applyNumberFormat="0" applyProtection="0">
      <alignment horizontal="right" vertical="center"/>
    </xf>
    <xf numFmtId="4" fontId="21" fillId="19" borderId="10" applyNumberFormat="0" applyProtection="0">
      <alignment horizontal="left" vertical="center" indent="1"/>
    </xf>
    <xf numFmtId="4" fontId="23" fillId="20" borderId="0" applyNumberFormat="0" applyProtection="0">
      <alignment horizontal="left" vertical="center" indent="1"/>
    </xf>
    <xf numFmtId="4" fontId="24" fillId="21" borderId="0" applyNumberFormat="0" applyProtection="0">
      <alignment horizontal="left" vertical="center" indent="1"/>
    </xf>
    <xf numFmtId="4" fontId="23" fillId="9" borderId="9" applyNumberFormat="0" applyProtection="0">
      <alignment horizontal="right" vertical="center"/>
    </xf>
    <xf numFmtId="4" fontId="23" fillId="20" borderId="0" applyNumberFormat="0" applyProtection="0">
      <alignment horizontal="left" vertical="center" indent="1"/>
    </xf>
    <xf numFmtId="4" fontId="23" fillId="9" borderId="0" applyNumberFormat="0" applyProtection="0">
      <alignment horizontal="left" vertical="center" indent="1"/>
    </xf>
    <xf numFmtId="0" fontId="19" fillId="21" borderId="9" applyNumberFormat="0" applyProtection="0">
      <alignment horizontal="left" vertical="center" indent="1"/>
    </xf>
    <xf numFmtId="0" fontId="19" fillId="21" borderId="9" applyNumberFormat="0" applyProtection="0">
      <alignment horizontal="left" vertical="top" indent="1"/>
    </xf>
    <xf numFmtId="0" fontId="19" fillId="9" borderId="9" applyNumberFormat="0" applyProtection="0">
      <alignment horizontal="left" vertical="center" indent="1"/>
    </xf>
    <xf numFmtId="0" fontId="19" fillId="9" borderId="9" applyNumberFormat="0" applyProtection="0">
      <alignment horizontal="left" vertical="top" indent="1"/>
    </xf>
    <xf numFmtId="0" fontId="19" fillId="22" borderId="9" applyNumberFormat="0" applyProtection="0">
      <alignment horizontal="left" vertical="center" indent="1"/>
    </xf>
    <xf numFmtId="0" fontId="19" fillId="22" borderId="9" applyNumberFormat="0" applyProtection="0">
      <alignment horizontal="left" vertical="top" indent="1"/>
    </xf>
    <xf numFmtId="0" fontId="19" fillId="20" borderId="9" applyNumberFormat="0" applyProtection="0">
      <alignment horizontal="left" vertical="center" indent="1"/>
    </xf>
    <xf numFmtId="0" fontId="19" fillId="20" borderId="9" applyNumberFormat="0" applyProtection="0">
      <alignment horizontal="left" vertical="top" indent="1"/>
    </xf>
    <xf numFmtId="0" fontId="19" fillId="23" borderId="11" applyNumberFormat="0">
      <protection locked="0"/>
    </xf>
    <xf numFmtId="4" fontId="23" fillId="24" borderId="9" applyNumberFormat="0" applyProtection="0">
      <alignment vertical="center"/>
    </xf>
    <xf numFmtId="4" fontId="25" fillId="24" borderId="9" applyNumberFormat="0" applyProtection="0">
      <alignment vertical="center"/>
    </xf>
    <xf numFmtId="4" fontId="23" fillId="24" borderId="9" applyNumberFormat="0" applyProtection="0">
      <alignment horizontal="left" vertical="center" indent="1"/>
    </xf>
    <xf numFmtId="0" fontId="23" fillId="24" borderId="9" applyNumberFormat="0" applyProtection="0">
      <alignment horizontal="left" vertical="top" indent="1"/>
    </xf>
    <xf numFmtId="4" fontId="23" fillId="20" borderId="9" applyNumberFormat="0" applyProtection="0">
      <alignment horizontal="right" vertical="center"/>
    </xf>
    <xf numFmtId="4" fontId="25" fillId="20" borderId="9" applyNumberFormat="0" applyProtection="0">
      <alignment horizontal="right" vertical="center"/>
    </xf>
    <xf numFmtId="4" fontId="23" fillId="9" borderId="9" applyNumberFormat="0" applyProtection="0">
      <alignment horizontal="left" vertical="center" indent="1"/>
    </xf>
    <xf numFmtId="0" fontId="23" fillId="9" borderId="9" applyNumberFormat="0" applyProtection="0">
      <alignment horizontal="left" vertical="top" indent="1"/>
    </xf>
    <xf numFmtId="4" fontId="26" fillId="25" borderId="0" applyNumberFormat="0" applyProtection="0">
      <alignment horizontal="left" vertical="center" indent="1"/>
    </xf>
    <xf numFmtId="4" fontId="27" fillId="20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5" fillId="0" borderId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4" fontId="0" fillId="0" borderId="0" xfId="0" applyNumberFormat="1"/>
    <xf numFmtId="0" fontId="31" fillId="0" borderId="0" xfId="0" quotePrefix="1" applyFont="1" applyAlignment="1"/>
    <xf numFmtId="0" fontId="31" fillId="0" borderId="0" xfId="0" quotePrefix="1" applyNumberFormat="1" applyFont="1" applyAlignment="1"/>
    <xf numFmtId="0" fontId="4" fillId="0" borderId="0" xfId="59" applyBorder="1" applyAlignment="1">
      <alignment horizontal="left" indent="1"/>
    </xf>
    <xf numFmtId="164" fontId="0" fillId="0" borderId="0" xfId="60" applyFont="1" applyBorder="1"/>
    <xf numFmtId="0" fontId="31" fillId="26" borderId="0" xfId="0" applyFont="1" applyFill="1"/>
    <xf numFmtId="0" fontId="31" fillId="0" borderId="0" xfId="0" applyFont="1"/>
    <xf numFmtId="4" fontId="31" fillId="0" borderId="0" xfId="0" applyNumberFormat="1" applyFont="1"/>
    <xf numFmtId="0" fontId="0" fillId="0" borderId="0" xfId="0" applyBorder="1"/>
    <xf numFmtId="4" fontId="0" fillId="0" borderId="0" xfId="0" applyNumberFormat="1" applyBorder="1"/>
    <xf numFmtId="0" fontId="33" fillId="0" borderId="0" xfId="0" applyFont="1" applyBorder="1"/>
    <xf numFmtId="4" fontId="33" fillId="0" borderId="0" xfId="0" applyNumberFormat="1" applyFont="1" applyBorder="1"/>
    <xf numFmtId="0" fontId="1" fillId="0" borderId="0" xfId="59" applyFont="1" applyBorder="1" applyAlignment="1">
      <alignment horizontal="left" indent="2"/>
    </xf>
    <xf numFmtId="0" fontId="1" fillId="0" borderId="0" xfId="59" applyFont="1" applyBorder="1" applyAlignment="1">
      <alignment horizontal="left" wrapText="1" indent="2"/>
    </xf>
    <xf numFmtId="4" fontId="33" fillId="0" borderId="0" xfId="0" quotePrefix="1" applyNumberFormat="1" applyFont="1" applyBorder="1"/>
    <xf numFmtId="0" fontId="6" fillId="0" borderId="0" xfId="59" applyFont="1" applyFill="1" applyBorder="1" applyAlignment="1">
      <alignment horizontal="left" indent="1"/>
    </xf>
    <xf numFmtId="0" fontId="0" fillId="0" borderId="0" xfId="0" applyFill="1" applyBorder="1"/>
    <xf numFmtId="0" fontId="33" fillId="0" borderId="0" xfId="0" quotePrefix="1" applyFont="1" applyBorder="1"/>
    <xf numFmtId="0" fontId="6" fillId="0" borderId="0" xfId="59" applyFont="1" applyBorder="1" applyAlignment="1">
      <alignment horizontal="left" indent="1"/>
    </xf>
    <xf numFmtId="0" fontId="33" fillId="0" borderId="0" xfId="0" applyFont="1" applyBorder="1" applyAlignment="1">
      <alignment horizontal="left"/>
    </xf>
    <xf numFmtId="0" fontId="0" fillId="0" borderId="0" xfId="0" applyFont="1"/>
    <xf numFmtId="4" fontId="33" fillId="0" borderId="0" xfId="0" applyNumberFormat="1" applyFont="1" applyBorder="1" applyAlignment="1">
      <alignment horizontal="left"/>
    </xf>
    <xf numFmtId="0" fontId="0" fillId="0" borderId="0" xfId="0" applyFont="1" applyBorder="1"/>
    <xf numFmtId="0" fontId="5" fillId="27" borderId="0" xfId="57" applyFill="1" applyBorder="1"/>
    <xf numFmtId="0" fontId="6" fillId="27" borderId="0" xfId="58" applyFont="1" applyFill="1" applyBorder="1" applyAlignment="1">
      <alignment vertical="center"/>
    </xf>
    <xf numFmtId="4" fontId="5" fillId="27" borderId="0" xfId="57" applyNumberFormat="1" applyFill="1" applyBorder="1"/>
    <xf numFmtId="0" fontId="5" fillId="27" borderId="13" xfId="57" applyFill="1" applyBorder="1"/>
    <xf numFmtId="0" fontId="5" fillId="27" borderId="14" xfId="57" applyFill="1" applyBorder="1"/>
    <xf numFmtId="0" fontId="6" fillId="27" borderId="14" xfId="57" applyFont="1" applyFill="1" applyBorder="1" applyAlignment="1">
      <alignment horizontal="center"/>
    </xf>
    <xf numFmtId="0" fontId="0" fillId="27" borderId="15" xfId="0" applyFill="1" applyBorder="1"/>
    <xf numFmtId="0" fontId="5" fillId="27" borderId="16" xfId="57" applyFill="1" applyBorder="1"/>
    <xf numFmtId="0" fontId="0" fillId="27" borderId="17" xfId="0" applyFill="1" applyBorder="1"/>
    <xf numFmtId="0" fontId="6" fillId="27" borderId="19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/>
    </xf>
    <xf numFmtId="0" fontId="6" fillId="27" borderId="20" xfId="58" applyFont="1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2" fillId="0" borderId="16" xfId="59" applyFont="1" applyBorder="1"/>
    <xf numFmtId="0" fontId="33" fillId="0" borderId="17" xfId="0" applyFont="1" applyBorder="1"/>
    <xf numFmtId="0" fontId="6" fillId="0" borderId="16" xfId="59" applyFont="1" applyBorder="1" applyAlignment="1">
      <alignment horizontal="left" indent="1"/>
    </xf>
    <xf numFmtId="0" fontId="4" fillId="0" borderId="16" xfId="59" applyBorder="1" applyAlignment="1">
      <alignment horizontal="left" indent="1"/>
    </xf>
    <xf numFmtId="0" fontId="0" fillId="0" borderId="17" xfId="0" applyBorder="1"/>
    <xf numFmtId="0" fontId="0" fillId="0" borderId="16" xfId="0" applyBorder="1"/>
    <xf numFmtId="0" fontId="4" fillId="0" borderId="16" xfId="59" applyBorder="1"/>
    <xf numFmtId="0" fontId="6" fillId="0" borderId="16" xfId="59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Border="1"/>
    <xf numFmtId="0" fontId="0" fillId="0" borderId="19" xfId="0" applyBorder="1"/>
    <xf numFmtId="4" fontId="0" fillId="0" borderId="19" xfId="0" applyNumberFormat="1" applyBorder="1"/>
    <xf numFmtId="0" fontId="0" fillId="0" borderId="20" xfId="0" applyBorder="1"/>
    <xf numFmtId="0" fontId="6" fillId="0" borderId="21" xfId="59" applyFont="1" applyBorder="1" applyAlignment="1"/>
    <xf numFmtId="0" fontId="6" fillId="0" borderId="21" xfId="59" applyFont="1" applyBorder="1" applyAlignment="1">
      <alignment horizontal="left" indent="1"/>
    </xf>
    <xf numFmtId="0" fontId="0" fillId="0" borderId="21" xfId="0" applyBorder="1"/>
    <xf numFmtId="0" fontId="33" fillId="0" borderId="21" xfId="0" applyFont="1" applyBorder="1"/>
    <xf numFmtId="0" fontId="33" fillId="0" borderId="16" xfId="0" applyFont="1" applyBorder="1"/>
    <xf numFmtId="14" fontId="31" fillId="0" borderId="0" xfId="0" applyNumberFormat="1" applyFont="1"/>
    <xf numFmtId="1" fontId="0" fillId="0" borderId="0" xfId="60" applyNumberFormat="1" applyFont="1" applyBorder="1"/>
    <xf numFmtId="1" fontId="33" fillId="0" borderId="21" xfId="60" applyNumberFormat="1" applyFont="1" applyBorder="1"/>
    <xf numFmtId="3" fontId="0" fillId="0" borderId="0" xfId="0" applyNumberFormat="1" applyFont="1" applyBorder="1"/>
    <xf numFmtId="3" fontId="33" fillId="0" borderId="0" xfId="0" applyNumberFormat="1" applyFont="1" applyBorder="1"/>
    <xf numFmtId="3" fontId="33" fillId="0" borderId="22" xfId="0" applyNumberFormat="1" applyFont="1" applyBorder="1"/>
    <xf numFmtId="0" fontId="6" fillId="27" borderId="0" xfId="58" applyFont="1" applyFill="1" applyBorder="1" applyAlignment="1">
      <alignment horizontal="center" vertical="center" wrapText="1"/>
    </xf>
    <xf numFmtId="0" fontId="21" fillId="9" borderId="0" xfId="21" quotePrefix="1" applyNumberFormat="1">
      <alignment horizontal="left" vertical="center" indent="1"/>
    </xf>
    <xf numFmtId="0" fontId="23" fillId="9" borderId="9" xfId="52" quotePrefix="1" applyNumberFormat="1">
      <alignment horizontal="left" vertical="center" indent="1"/>
    </xf>
    <xf numFmtId="0" fontId="21" fillId="8" borderId="9" xfId="19" quotePrefix="1" applyNumberFormat="1">
      <alignment horizontal="left" vertical="center" indent="1"/>
    </xf>
    <xf numFmtId="165" fontId="21" fillId="8" borderId="9" xfId="17" applyNumberFormat="1">
      <alignment vertical="center"/>
    </xf>
    <xf numFmtId="166" fontId="21" fillId="8" borderId="9" xfId="17" applyNumberFormat="1">
      <alignment vertical="center"/>
    </xf>
    <xf numFmtId="167" fontId="21" fillId="8" borderId="9" xfId="17" applyNumberFormat="1">
      <alignment vertical="center"/>
    </xf>
    <xf numFmtId="0" fontId="19" fillId="21" borderId="9" xfId="37" quotePrefix="1">
      <alignment horizontal="left" vertical="center" indent="1"/>
    </xf>
    <xf numFmtId="165" fontId="23" fillId="20" borderId="9" xfId="50" applyNumberFormat="1">
      <alignment horizontal="right" vertical="center"/>
    </xf>
    <xf numFmtId="166" fontId="23" fillId="20" borderId="9" xfId="50" applyNumberFormat="1">
      <alignment horizontal="right" vertical="center"/>
    </xf>
    <xf numFmtId="167" fontId="23" fillId="20" borderId="9" xfId="50" applyNumberFormat="1">
      <alignment horizontal="right" vertical="center"/>
    </xf>
    <xf numFmtId="0" fontId="19" fillId="9" borderId="9" xfId="39" quotePrefix="1">
      <alignment horizontal="left" vertical="center" indent="1"/>
    </xf>
    <xf numFmtId="0" fontId="19" fillId="22" borderId="9" xfId="41" quotePrefix="1">
      <alignment horizontal="left" vertical="center" indent="1"/>
    </xf>
    <xf numFmtId="168" fontId="23" fillId="20" borderId="9" xfId="50" applyNumberFormat="1">
      <alignment horizontal="right" vertical="center"/>
    </xf>
    <xf numFmtId="0" fontId="19" fillId="20" borderId="9" xfId="43" quotePrefix="1">
      <alignment horizontal="left" vertical="center" indent="1"/>
    </xf>
    <xf numFmtId="169" fontId="23" fillId="20" borderId="9" xfId="50" applyNumberFormat="1">
      <alignment horizontal="right" vertical="center"/>
    </xf>
    <xf numFmtId="170" fontId="23" fillId="20" borderId="9" xfId="50" applyNumberFormat="1">
      <alignment horizontal="right" vertical="center"/>
    </xf>
    <xf numFmtId="171" fontId="23" fillId="20" borderId="9" xfId="50" applyNumberFormat="1">
      <alignment horizontal="right" vertical="center"/>
    </xf>
    <xf numFmtId="0" fontId="23" fillId="24" borderId="9" xfId="48" quotePrefix="1" applyNumberFormat="1">
      <alignment horizontal="left" vertical="center" indent="1"/>
    </xf>
    <xf numFmtId="0" fontId="21" fillId="9" borderId="0" xfId="21" quotePrefix="1" applyNumberFormat="1" applyAlignment="1">
      <alignment horizontal="left" vertical="center" indent="1"/>
    </xf>
    <xf numFmtId="0" fontId="19" fillId="21" borderId="9" xfId="37" quotePrefix="1" applyAlignment="1">
      <alignment horizontal="left" vertical="center" indent="2"/>
    </xf>
    <xf numFmtId="0" fontId="19" fillId="9" borderId="9" xfId="39" quotePrefix="1" applyAlignment="1">
      <alignment horizontal="left" vertical="center" indent="3"/>
    </xf>
    <xf numFmtId="0" fontId="19" fillId="22" borderId="9" xfId="41" quotePrefix="1" applyAlignment="1">
      <alignment horizontal="left" vertical="center" indent="4"/>
    </xf>
    <xf numFmtId="0" fontId="19" fillId="20" borderId="9" xfId="43" quotePrefix="1" applyAlignment="1">
      <alignment horizontal="left" vertical="center" indent="5"/>
    </xf>
    <xf numFmtId="0" fontId="19" fillId="20" borderId="9" xfId="43" quotePrefix="1" applyAlignment="1">
      <alignment horizontal="left" vertical="center" indent="6"/>
    </xf>
    <xf numFmtId="0" fontId="19" fillId="20" borderId="9" xfId="43" quotePrefix="1" applyAlignment="1">
      <alignment horizontal="left" vertical="center" indent="7"/>
    </xf>
    <xf numFmtId="0" fontId="23" fillId="24" borderId="9" xfId="48" quotePrefix="1" applyNumberFormat="1" applyAlignment="1">
      <alignment horizontal="left" vertical="center" indent="2"/>
    </xf>
    <xf numFmtId="43" fontId="0" fillId="0" borderId="0" xfId="0" applyNumberFormat="1" applyBorder="1"/>
    <xf numFmtId="14" fontId="31" fillId="0" borderId="0" xfId="0" applyNumberFormat="1" applyFont="1" applyBorder="1"/>
    <xf numFmtId="0" fontId="6" fillId="27" borderId="0" xfId="57" applyFont="1" applyFill="1" applyBorder="1" applyAlignment="1">
      <alignment horizontal="center"/>
    </xf>
    <xf numFmtId="0" fontId="32" fillId="0" borderId="16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32" fillId="0" borderId="1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6" fillId="27" borderId="18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 wrapText="1"/>
    </xf>
    <xf numFmtId="0" fontId="6" fillId="27" borderId="0" xfId="58" applyFont="1" applyFill="1" applyBorder="1" applyAlignment="1">
      <alignment horizontal="center" vertical="center" wrapText="1"/>
    </xf>
    <xf numFmtId="0" fontId="6" fillId="27" borderId="14" xfId="57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top"/>
    </xf>
    <xf numFmtId="0" fontId="6" fillId="0" borderId="19" xfId="0" applyFont="1" applyFill="1" applyBorder="1" applyAlignment="1">
      <alignment horizontal="center" vertical="top"/>
    </xf>
    <xf numFmtId="0" fontId="6" fillId="0" borderId="20" xfId="0" applyFont="1" applyFill="1" applyBorder="1" applyAlignment="1">
      <alignment horizontal="center" vertical="top"/>
    </xf>
    <xf numFmtId="0" fontId="7" fillId="0" borderId="1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/>
    </xf>
  </cellXfs>
  <cellStyles count="76">
    <cellStyle name="Buena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Incorrecto" xfId="6" builtinId="27" customBuiltin="1"/>
    <cellStyle name="Millares" xfId="60" builtinId="3"/>
    <cellStyle name="Neutral" xfId="7" builtinId="28" customBuiltin="1"/>
    <cellStyle name="Normal" xfId="0" builtinId="0" customBuiltin="1"/>
    <cellStyle name="Normal 2" xfId="57"/>
    <cellStyle name="Normal 2 2" xfId="61"/>
    <cellStyle name="Normal 2 2 2" xfId="70"/>
    <cellStyle name="Normal 2 3" xfId="67"/>
    <cellStyle name="Normal 3" xfId="58"/>
    <cellStyle name="Normal 3 2" xfId="62"/>
    <cellStyle name="Normal 3 2 2" xfId="66"/>
    <cellStyle name="Normal 3 2 2 2" xfId="75"/>
    <cellStyle name="Normal 3 2 3" xfId="71"/>
    <cellStyle name="Normal 3 3" xfId="65"/>
    <cellStyle name="Normal 3 3 2" xfId="74"/>
    <cellStyle name="Normal 3 4" xfId="68"/>
    <cellStyle name="Normal 4" xfId="63"/>
    <cellStyle name="Normal 4 2" xfId="72"/>
    <cellStyle name="Normal 5" xfId="64"/>
    <cellStyle name="Normal 5 2" xfId="73"/>
    <cellStyle name="Normal 6" xfId="59"/>
    <cellStyle name="Normal 6 2" xfId="69"/>
    <cellStyle name="Notas" xfId="14" builtinId="10" customBuiltin="1"/>
    <cellStyle name="Salida" xfId="9" builtinId="21" customBuiltin="1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0"/>
          <a:ext cx="12255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1835150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2775" y="0"/>
          <a:ext cx="18351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2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1833563</xdr:colOff>
      <xdr:row>1</xdr:row>
      <xdr:rowOff>265389</xdr:rowOff>
    </xdr:from>
    <xdr:to>
      <xdr:col>13</xdr:col>
      <xdr:colOff>1500188</xdr:colOff>
      <xdr:row>3</xdr:row>
      <xdr:rowOff>119063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10626" y="265389"/>
          <a:ext cx="1631156" cy="4727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1420812</xdr:colOff>
      <xdr:row>57</xdr:row>
      <xdr:rowOff>39687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208125" cy="9540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53"/>
  <sheetViews>
    <sheetView showGridLines="0" tabSelected="1" zoomScale="80" zoomScaleNormal="80" workbookViewId="0">
      <pane ySplit="9" topLeftCell="A10" activePane="bottomLeft" state="frozen"/>
      <selection pane="bottomLeft" activeCell="A22" sqref="A22"/>
    </sheetView>
  </sheetViews>
  <sheetFormatPr baseColWidth="10" defaultColWidth="9.140625" defaultRowHeight="12.75" x14ac:dyDescent="0.2"/>
  <cols>
    <col min="1" max="1" width="5.140625" customWidth="1"/>
    <col min="2" max="2" width="3.7109375" customWidth="1"/>
    <col min="3" max="3" width="3.140625" customWidth="1"/>
    <col min="4" max="4" width="56.42578125" customWidth="1"/>
    <col min="5" max="5" width="18.5703125" customWidth="1"/>
    <col min="6" max="6" width="17.42578125" customWidth="1"/>
    <col min="7" max="7" width="27.7109375" customWidth="1"/>
    <col min="8" max="8" width="12.85546875" hidden="1" customWidth="1"/>
    <col min="9" max="9" width="10.5703125" style="1" hidden="1" customWidth="1"/>
    <col min="10" max="10" width="23.42578125" style="1" hidden="1" customWidth="1"/>
    <col min="11" max="11" width="12.85546875" style="1" hidden="1" customWidth="1"/>
    <col min="12" max="12" width="18.5703125" hidden="1" customWidth="1"/>
    <col min="13" max="13" width="1.7109375" style="9" customWidth="1"/>
    <col min="14" max="14" width="26.42578125" customWidth="1"/>
    <col min="15" max="15" width="3" customWidth="1"/>
    <col min="16" max="16" width="15.42578125" customWidth="1"/>
    <col min="17" max="17" width="3.140625" customWidth="1"/>
    <col min="18" max="18" width="17.42578125" customWidth="1"/>
    <col min="19" max="19" width="11.42578125"/>
    <col min="20" max="20" width="17.42578125" hidden="1" customWidth="1"/>
    <col min="21" max="21" width="0" hidden="1" customWidth="1"/>
  </cols>
  <sheetData>
    <row r="1" spans="2:15" s="7" customFormat="1" ht="13.5" hidden="1" thickBot="1" x14ac:dyDescent="0.25">
      <c r="B1" s="3" t="s">
        <v>26</v>
      </c>
      <c r="C1" s="2" t="s">
        <v>24</v>
      </c>
      <c r="D1" s="2" t="s">
        <v>25</v>
      </c>
      <c r="E1" s="2" t="s">
        <v>23</v>
      </c>
      <c r="F1" s="2"/>
      <c r="G1" s="2"/>
      <c r="H1" s="6" t="s">
        <v>200</v>
      </c>
      <c r="I1" s="7" t="s">
        <v>201</v>
      </c>
      <c r="J1" s="7" t="s">
        <v>202</v>
      </c>
      <c r="K1" s="8" t="s">
        <v>203</v>
      </c>
      <c r="L1" s="58">
        <v>44469</v>
      </c>
      <c r="M1" s="92"/>
      <c r="N1" s="7">
        <v>30</v>
      </c>
    </row>
    <row r="2" spans="2:15" ht="24.75" customHeight="1" x14ac:dyDescent="0.3">
      <c r="B2" s="100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2"/>
    </row>
    <row r="3" spans="2:15" ht="24.75" customHeight="1" x14ac:dyDescent="0.3">
      <c r="B3" s="110" t="s">
        <v>190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2"/>
    </row>
    <row r="4" spans="2:15" ht="24.75" customHeight="1" x14ac:dyDescent="0.3">
      <c r="B4" s="97" t="s">
        <v>22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9"/>
    </row>
    <row r="5" spans="2:15" ht="24.75" customHeight="1" x14ac:dyDescent="0.25">
      <c r="B5" s="94" t="s">
        <v>204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6"/>
    </row>
    <row r="6" spans="2:15" ht="18.75" customHeight="1" thickBot="1" x14ac:dyDescent="0.25">
      <c r="B6" s="107" t="s">
        <v>191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9"/>
    </row>
    <row r="7" spans="2:15" ht="14.25" customHeight="1" x14ac:dyDescent="0.25">
      <c r="B7" s="27"/>
      <c r="C7" s="28"/>
      <c r="D7" s="28"/>
      <c r="E7" s="28"/>
      <c r="F7" s="28"/>
      <c r="G7" s="28"/>
      <c r="H7" s="106" t="s">
        <v>9</v>
      </c>
      <c r="I7" s="106"/>
      <c r="J7" s="106"/>
      <c r="K7" s="106"/>
      <c r="L7" s="106"/>
      <c r="M7" s="93"/>
      <c r="N7" s="29"/>
      <c r="O7" s="30"/>
    </row>
    <row r="8" spans="2:15" ht="14.25" customHeight="1" x14ac:dyDescent="0.25">
      <c r="B8" s="31"/>
      <c r="C8" s="24"/>
      <c r="D8" s="24"/>
      <c r="E8" s="24"/>
      <c r="F8" s="24"/>
      <c r="G8" s="25"/>
      <c r="H8" s="105" t="s">
        <v>8</v>
      </c>
      <c r="I8" s="105"/>
      <c r="J8" s="105"/>
      <c r="K8" s="24"/>
      <c r="L8" s="105" t="s">
        <v>5</v>
      </c>
      <c r="M8" s="64"/>
      <c r="N8" s="26"/>
      <c r="O8" s="32"/>
    </row>
    <row r="9" spans="2:15" ht="30.75" thickBot="1" x14ac:dyDescent="0.25">
      <c r="B9" s="103" t="s">
        <v>0</v>
      </c>
      <c r="C9" s="104"/>
      <c r="D9" s="104"/>
      <c r="E9" s="33" t="s">
        <v>1</v>
      </c>
      <c r="F9" s="33" t="s">
        <v>2</v>
      </c>
      <c r="G9" s="34" t="s">
        <v>10</v>
      </c>
      <c r="H9" s="33" t="s">
        <v>6</v>
      </c>
      <c r="I9" s="33" t="s">
        <v>7</v>
      </c>
      <c r="J9" s="33" t="s">
        <v>3</v>
      </c>
      <c r="K9" s="33" t="s">
        <v>4</v>
      </c>
      <c r="L9" s="104"/>
      <c r="M9" s="64"/>
      <c r="N9" s="34" t="s">
        <v>11</v>
      </c>
      <c r="O9" s="35"/>
    </row>
    <row r="10" spans="2:15" ht="6.75" customHeight="1" x14ac:dyDescent="0.2"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N10" s="37"/>
      <c r="O10" s="38"/>
    </row>
    <row r="11" spans="2:15" ht="15.75" x14ac:dyDescent="0.25">
      <c r="B11" s="39" t="s">
        <v>13</v>
      </c>
      <c r="C11" s="9"/>
      <c r="D11" s="9"/>
      <c r="E11" s="9"/>
      <c r="F11" s="9"/>
      <c r="G11" s="11"/>
      <c r="H11" s="11"/>
      <c r="I11" s="11"/>
      <c r="J11" s="11"/>
      <c r="K11" s="11"/>
      <c r="L11" s="11"/>
      <c r="M11" s="11"/>
      <c r="N11" s="11"/>
      <c r="O11" s="40"/>
    </row>
    <row r="12" spans="2:15" ht="15.75" thickBot="1" x14ac:dyDescent="0.3">
      <c r="B12" s="41"/>
      <c r="C12" s="53" t="s">
        <v>12</v>
      </c>
      <c r="D12" s="54"/>
      <c r="E12" s="55"/>
      <c r="F12" s="55"/>
      <c r="G12" s="56"/>
      <c r="H12" s="56"/>
      <c r="I12" s="56"/>
      <c r="J12" s="56"/>
      <c r="K12" s="56"/>
      <c r="L12" s="56"/>
      <c r="M12" s="56"/>
      <c r="N12" s="56"/>
      <c r="O12" s="40"/>
    </row>
    <row r="13" spans="2:15" ht="15.75" thickTop="1" x14ac:dyDescent="0.25">
      <c r="B13" s="42"/>
      <c r="C13" s="19" t="s">
        <v>17</v>
      </c>
      <c r="D13" s="4"/>
      <c r="E13" s="9"/>
      <c r="F13" s="9"/>
      <c r="G13" s="62">
        <v>87572303.069999993</v>
      </c>
      <c r="H13" s="62">
        <v>247692745.12</v>
      </c>
      <c r="I13" s="62">
        <v>253591140.81999999</v>
      </c>
      <c r="J13" s="62">
        <v>5898395.7000000002</v>
      </c>
      <c r="K13" s="62">
        <v>0</v>
      </c>
      <c r="L13" s="62">
        <v>6.7354580080929996E-2</v>
      </c>
      <c r="M13" s="62"/>
      <c r="N13" s="62">
        <v>93470698.769999996</v>
      </c>
      <c r="O13" s="43"/>
    </row>
    <row r="14" spans="2:15" ht="15" x14ac:dyDescent="0.25">
      <c r="B14" s="44"/>
      <c r="C14" s="9"/>
      <c r="D14" s="13" t="s">
        <v>14</v>
      </c>
      <c r="E14" s="9" t="s">
        <v>192</v>
      </c>
      <c r="F14" s="9" t="s">
        <v>193</v>
      </c>
      <c r="G14" s="61">
        <v>87572303.069999993</v>
      </c>
      <c r="H14" s="61">
        <v>247692745.12</v>
      </c>
      <c r="I14" s="61">
        <v>253591140.81999999</v>
      </c>
      <c r="J14" s="61">
        <v>5898395.7000000002</v>
      </c>
      <c r="K14" s="61">
        <v>0</v>
      </c>
      <c r="L14" s="61">
        <v>6.7354580080929996E-2</v>
      </c>
      <c r="M14" s="61"/>
      <c r="N14" s="61">
        <v>93470698.769999996</v>
      </c>
      <c r="O14" s="43"/>
    </row>
    <row r="15" spans="2:15" ht="15" x14ac:dyDescent="0.25">
      <c r="B15" s="44"/>
      <c r="C15" s="9"/>
      <c r="D15" s="13" t="s">
        <v>15</v>
      </c>
      <c r="E15" s="9"/>
      <c r="F15" s="9"/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/>
      <c r="N15" s="61">
        <v>0</v>
      </c>
      <c r="O15" s="43"/>
    </row>
    <row r="16" spans="2:15" ht="15" x14ac:dyDescent="0.25">
      <c r="B16" s="44"/>
      <c r="C16" s="9"/>
      <c r="D16" s="13" t="s">
        <v>16</v>
      </c>
      <c r="E16" s="9"/>
      <c r="F16" s="9"/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/>
      <c r="N16" s="61">
        <v>0</v>
      </c>
      <c r="O16" s="43"/>
    </row>
    <row r="17" spans="2:15" ht="15" x14ac:dyDescent="0.25">
      <c r="B17" s="45"/>
      <c r="C17" s="9"/>
      <c r="D17" s="9"/>
      <c r="E17" s="9"/>
      <c r="F17" s="9"/>
      <c r="G17" s="61"/>
      <c r="H17" s="61"/>
      <c r="I17" s="61"/>
      <c r="J17" s="61"/>
      <c r="K17" s="61"/>
      <c r="L17" s="61"/>
      <c r="M17" s="61"/>
      <c r="N17" s="61"/>
      <c r="O17" s="43"/>
    </row>
    <row r="18" spans="2:15" ht="15" x14ac:dyDescent="0.25">
      <c r="B18" s="42"/>
      <c r="C18" s="19" t="s">
        <v>18</v>
      </c>
      <c r="D18" s="9"/>
      <c r="E18" s="9"/>
      <c r="F18" s="9"/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/>
      <c r="N18" s="62">
        <v>0</v>
      </c>
      <c r="O18" s="43"/>
    </row>
    <row r="19" spans="2:15" ht="15" x14ac:dyDescent="0.25">
      <c r="B19" s="44"/>
      <c r="C19" s="9"/>
      <c r="D19" s="14" t="s">
        <v>19</v>
      </c>
      <c r="E19" s="9"/>
      <c r="F19" s="9"/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/>
      <c r="N19" s="61">
        <v>0</v>
      </c>
      <c r="O19" s="43"/>
    </row>
    <row r="20" spans="2:15" ht="15" x14ac:dyDescent="0.25">
      <c r="B20" s="44"/>
      <c r="C20" s="9"/>
      <c r="D20" s="13" t="s">
        <v>20</v>
      </c>
      <c r="E20" s="9"/>
      <c r="F20" s="9"/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/>
      <c r="N20" s="61">
        <v>0</v>
      </c>
      <c r="O20" s="43"/>
    </row>
    <row r="21" spans="2:15" ht="15" x14ac:dyDescent="0.25">
      <c r="B21" s="44"/>
      <c r="C21" s="9"/>
      <c r="D21" s="13" t="s">
        <v>15</v>
      </c>
      <c r="E21" s="9"/>
      <c r="F21" s="9"/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/>
      <c r="N21" s="61">
        <v>0</v>
      </c>
      <c r="O21" s="43"/>
    </row>
    <row r="22" spans="2:15" ht="15" x14ac:dyDescent="0.25">
      <c r="B22" s="44"/>
      <c r="C22" s="9"/>
      <c r="D22" s="13" t="s">
        <v>16</v>
      </c>
      <c r="E22" s="9"/>
      <c r="F22" s="9"/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/>
      <c r="N22" s="61">
        <v>0</v>
      </c>
      <c r="O22" s="43"/>
    </row>
    <row r="23" spans="2:15" ht="15" x14ac:dyDescent="0.25">
      <c r="B23" s="45"/>
      <c r="C23" s="9"/>
      <c r="D23" s="9"/>
      <c r="E23" s="9"/>
      <c r="F23" s="9"/>
      <c r="G23" s="61"/>
      <c r="H23" s="61"/>
      <c r="I23" s="61"/>
      <c r="J23" s="61"/>
      <c r="K23" s="61"/>
      <c r="L23" s="61"/>
      <c r="M23" s="61"/>
      <c r="N23" s="61"/>
      <c r="O23" s="43"/>
    </row>
    <row r="24" spans="2:15" ht="15" x14ac:dyDescent="0.25">
      <c r="B24" s="44"/>
      <c r="C24" s="16" t="s">
        <v>194</v>
      </c>
      <c r="D24" s="17"/>
      <c r="E24" s="17"/>
      <c r="F24" s="17"/>
      <c r="G24" s="62">
        <v>87572303.069999993</v>
      </c>
      <c r="H24" s="62">
        <v>247692745.12</v>
      </c>
      <c r="I24" s="62">
        <v>253591140.81999999</v>
      </c>
      <c r="J24" s="62">
        <v>5898395.7000000002</v>
      </c>
      <c r="K24" s="62">
        <v>0</v>
      </c>
      <c r="L24" s="62">
        <v>6.7354580080929996E-2</v>
      </c>
      <c r="M24" s="62"/>
      <c r="N24" s="62">
        <v>93470698.769999996</v>
      </c>
      <c r="O24" s="43"/>
    </row>
    <row r="25" spans="2:15" ht="15" x14ac:dyDescent="0.25">
      <c r="B25" s="45"/>
      <c r="C25" s="9"/>
      <c r="D25" s="9"/>
      <c r="E25" s="9"/>
      <c r="F25" s="9"/>
      <c r="G25" s="59"/>
      <c r="H25" s="59"/>
      <c r="I25" s="59"/>
      <c r="J25" s="59"/>
      <c r="K25" s="59"/>
      <c r="L25" s="59"/>
      <c r="M25" s="59"/>
      <c r="N25" s="59"/>
      <c r="O25" s="43"/>
    </row>
    <row r="26" spans="2:15" ht="15.75" thickBot="1" x14ac:dyDescent="0.3">
      <c r="B26" s="44"/>
      <c r="C26" s="53" t="s">
        <v>21</v>
      </c>
      <c r="D26" s="55"/>
      <c r="E26" s="55"/>
      <c r="F26" s="55"/>
      <c r="G26" s="60"/>
      <c r="H26" s="60"/>
      <c r="I26" s="60"/>
      <c r="J26" s="60"/>
      <c r="K26" s="60"/>
      <c r="L26" s="60"/>
      <c r="M26" s="60"/>
      <c r="N26" s="60"/>
      <c r="O26" s="43"/>
    </row>
    <row r="27" spans="2:15" ht="15.75" thickTop="1" x14ac:dyDescent="0.25">
      <c r="B27" s="44"/>
      <c r="C27" s="19" t="s">
        <v>17</v>
      </c>
      <c r="D27" s="9"/>
      <c r="E27" s="9"/>
      <c r="F27" s="9"/>
      <c r="G27" s="62">
        <v>2474711846.5799999</v>
      </c>
      <c r="H27" s="62">
        <v>70864776.349999994</v>
      </c>
      <c r="I27" s="62">
        <v>0</v>
      </c>
      <c r="J27" s="62">
        <v>-70864776.349999994</v>
      </c>
      <c r="K27" s="62">
        <v>0</v>
      </c>
      <c r="L27" s="62">
        <v>-2.863556678243E-2</v>
      </c>
      <c r="M27" s="62"/>
      <c r="N27" s="62">
        <v>2403847070.23</v>
      </c>
      <c r="O27" s="43"/>
    </row>
    <row r="28" spans="2:15" ht="15" x14ac:dyDescent="0.25">
      <c r="B28" s="44"/>
      <c r="C28" s="9"/>
      <c r="D28" s="13" t="s">
        <v>14</v>
      </c>
      <c r="E28" s="9" t="s">
        <v>192</v>
      </c>
      <c r="F28" s="9" t="s">
        <v>193</v>
      </c>
      <c r="G28" s="61">
        <v>2474711846.5799999</v>
      </c>
      <c r="H28" s="61">
        <v>70864776.349999994</v>
      </c>
      <c r="I28" s="61">
        <v>0</v>
      </c>
      <c r="J28" s="61">
        <v>-70864776.349999994</v>
      </c>
      <c r="K28" s="61">
        <v>0</v>
      </c>
      <c r="L28" s="61">
        <v>-2.863556678243E-2</v>
      </c>
      <c r="M28" s="61"/>
      <c r="N28" s="61">
        <v>2403847070.23</v>
      </c>
      <c r="O28" s="43"/>
    </row>
    <row r="29" spans="2:15" ht="15" x14ac:dyDescent="0.25">
      <c r="B29" s="44"/>
      <c r="C29" s="9"/>
      <c r="D29" s="13" t="s">
        <v>15</v>
      </c>
      <c r="E29" s="9"/>
      <c r="F29" s="9"/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/>
      <c r="N29" s="61">
        <v>0</v>
      </c>
      <c r="O29" s="43"/>
    </row>
    <row r="30" spans="2:15" ht="15" x14ac:dyDescent="0.25">
      <c r="B30" s="44"/>
      <c r="C30" s="9"/>
      <c r="D30" s="13" t="s">
        <v>16</v>
      </c>
      <c r="E30" s="9"/>
      <c r="F30" s="9"/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/>
      <c r="N30" s="61">
        <v>0</v>
      </c>
      <c r="O30" s="43"/>
    </row>
    <row r="31" spans="2:15" ht="15" x14ac:dyDescent="0.25">
      <c r="B31" s="45"/>
      <c r="C31" s="9"/>
      <c r="D31" s="9"/>
      <c r="E31" s="9"/>
      <c r="F31" s="9"/>
      <c r="G31" s="61"/>
      <c r="H31" s="61"/>
      <c r="I31" s="61"/>
      <c r="J31" s="61"/>
      <c r="K31" s="61"/>
      <c r="L31" s="61"/>
      <c r="M31" s="61"/>
      <c r="N31" s="61"/>
      <c r="O31" s="43"/>
    </row>
    <row r="32" spans="2:15" ht="15" x14ac:dyDescent="0.25">
      <c r="B32" s="42"/>
      <c r="C32" s="19" t="s">
        <v>18</v>
      </c>
      <c r="D32" s="9"/>
      <c r="E32" s="9"/>
      <c r="F32" s="9"/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/>
      <c r="N32" s="62">
        <v>0</v>
      </c>
      <c r="O32" s="43"/>
    </row>
    <row r="33" spans="2:15" ht="15" x14ac:dyDescent="0.25">
      <c r="B33" s="44"/>
      <c r="C33" s="9"/>
      <c r="D33" s="14" t="s">
        <v>19</v>
      </c>
      <c r="E33" s="9"/>
      <c r="F33" s="9"/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/>
      <c r="N33" s="61">
        <v>0</v>
      </c>
      <c r="O33" s="43"/>
    </row>
    <row r="34" spans="2:15" ht="15" x14ac:dyDescent="0.25">
      <c r="B34" s="44"/>
      <c r="C34" s="9"/>
      <c r="D34" s="13" t="s">
        <v>20</v>
      </c>
      <c r="E34" s="9"/>
      <c r="F34" s="9"/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/>
      <c r="N34" s="61">
        <v>0</v>
      </c>
      <c r="O34" s="43"/>
    </row>
    <row r="35" spans="2:15" ht="15" x14ac:dyDescent="0.25">
      <c r="B35" s="44"/>
      <c r="C35" s="9"/>
      <c r="D35" s="13" t="s">
        <v>15</v>
      </c>
      <c r="E35" s="9"/>
      <c r="F35" s="9"/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/>
      <c r="N35" s="61">
        <v>0</v>
      </c>
      <c r="O35" s="43"/>
    </row>
    <row r="36" spans="2:15" ht="15" x14ac:dyDescent="0.25">
      <c r="B36" s="44"/>
      <c r="C36" s="9"/>
      <c r="D36" s="13" t="s">
        <v>16</v>
      </c>
      <c r="E36" s="9"/>
      <c r="F36" s="9"/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/>
      <c r="N36" s="61">
        <v>0</v>
      </c>
      <c r="O36" s="43"/>
    </row>
    <row r="37" spans="2:15" ht="15" x14ac:dyDescent="0.25">
      <c r="B37" s="45"/>
      <c r="C37" s="9"/>
      <c r="D37" s="9"/>
      <c r="E37" s="9"/>
      <c r="F37" s="9"/>
      <c r="G37" s="61"/>
      <c r="H37" s="61"/>
      <c r="I37" s="61"/>
      <c r="J37" s="61"/>
      <c r="K37" s="61"/>
      <c r="L37" s="61"/>
      <c r="M37" s="61"/>
      <c r="N37" s="61"/>
      <c r="O37" s="43"/>
    </row>
    <row r="38" spans="2:15" ht="15" x14ac:dyDescent="0.25">
      <c r="B38" s="44"/>
      <c r="C38" s="16" t="s">
        <v>195</v>
      </c>
      <c r="D38" s="17"/>
      <c r="E38" s="17"/>
      <c r="F38" s="17"/>
      <c r="G38" s="62">
        <v>2474711846.5799999</v>
      </c>
      <c r="H38" s="62">
        <v>70864776.349999994</v>
      </c>
      <c r="I38" s="62">
        <v>0</v>
      </c>
      <c r="J38" s="62">
        <v>-70864776.349999994</v>
      </c>
      <c r="K38" s="62">
        <v>0</v>
      </c>
      <c r="L38" s="62">
        <v>-2.863556678243E-2</v>
      </c>
      <c r="M38" s="62"/>
      <c r="N38" s="62">
        <v>2403847070.23</v>
      </c>
      <c r="O38" s="43"/>
    </row>
    <row r="39" spans="2:15" ht="15" x14ac:dyDescent="0.25">
      <c r="B39" s="45"/>
      <c r="C39" s="9"/>
      <c r="D39" s="9"/>
      <c r="E39" s="9"/>
      <c r="F39" s="9"/>
      <c r="G39" s="62"/>
      <c r="H39" s="62"/>
      <c r="I39" s="62"/>
      <c r="J39" s="62"/>
      <c r="K39" s="62"/>
      <c r="L39" s="62"/>
      <c r="M39" s="62"/>
      <c r="N39" s="62"/>
      <c r="O39" s="43"/>
    </row>
    <row r="40" spans="2:15" ht="15" x14ac:dyDescent="0.25">
      <c r="B40" s="44"/>
      <c r="C40" s="16" t="s">
        <v>196</v>
      </c>
      <c r="D40" s="17"/>
      <c r="E40" s="17" t="s">
        <v>192</v>
      </c>
      <c r="F40" s="17" t="s">
        <v>199</v>
      </c>
      <c r="G40" s="62">
        <v>1645378121.48</v>
      </c>
      <c r="H40" s="62">
        <v>6098373654.0900002</v>
      </c>
      <c r="I40" s="62">
        <v>5952457046.0200005</v>
      </c>
      <c r="J40" s="62">
        <v>-145916608.06999999</v>
      </c>
      <c r="K40" s="62">
        <v>0</v>
      </c>
      <c r="L40" s="62">
        <v>-8.8835760782099996E-2</v>
      </c>
      <c r="M40" s="62"/>
      <c r="N40" s="62">
        <v>1499395011.8299999</v>
      </c>
      <c r="O40" s="43"/>
    </row>
    <row r="41" spans="2:15" ht="15" x14ac:dyDescent="0.25">
      <c r="B41" s="45"/>
      <c r="C41" s="9"/>
      <c r="D41" s="9"/>
      <c r="E41" s="9"/>
      <c r="F41" s="9"/>
      <c r="G41" s="61"/>
      <c r="H41" s="61"/>
      <c r="I41" s="61"/>
      <c r="J41" s="61"/>
      <c r="K41" s="61"/>
      <c r="L41" s="61"/>
      <c r="M41" s="61"/>
      <c r="N41" s="61"/>
      <c r="O41" s="43"/>
    </row>
    <row r="42" spans="2:15" ht="15.75" thickBot="1" x14ac:dyDescent="0.3">
      <c r="B42" s="46" t="s">
        <v>197</v>
      </c>
      <c r="C42" s="9"/>
      <c r="D42" s="9"/>
      <c r="E42" s="9"/>
      <c r="F42" s="9"/>
      <c r="G42" s="63">
        <v>4207662271.1300001</v>
      </c>
      <c r="H42" s="63">
        <v>6416931175.5600004</v>
      </c>
      <c r="I42" s="63">
        <v>6206048186.8400002</v>
      </c>
      <c r="J42" s="63">
        <v>-210882988.72</v>
      </c>
      <c r="K42" s="63">
        <v>0</v>
      </c>
      <c r="L42" s="63">
        <v>-5.0116747483599997E-2</v>
      </c>
      <c r="M42" s="62"/>
      <c r="N42" s="63">
        <v>3996712780.8299999</v>
      </c>
      <c r="O42" s="43"/>
    </row>
    <row r="43" spans="2:15" ht="13.5" thickTop="1" x14ac:dyDescent="0.2">
      <c r="B43" s="44"/>
      <c r="C43" s="9"/>
      <c r="D43" s="9"/>
      <c r="E43" s="9"/>
      <c r="F43" s="9"/>
      <c r="G43" s="5"/>
      <c r="H43" s="5"/>
      <c r="I43" s="5"/>
      <c r="J43" s="5"/>
      <c r="K43" s="5"/>
      <c r="L43" s="5"/>
      <c r="M43" s="5"/>
      <c r="N43" s="5"/>
      <c r="O43" s="43"/>
    </row>
    <row r="44" spans="2:15" x14ac:dyDescent="0.2">
      <c r="B44" s="44"/>
      <c r="C44" s="9"/>
      <c r="D44" s="9"/>
      <c r="E44" s="9"/>
      <c r="F44" s="9"/>
      <c r="G44" s="91"/>
      <c r="H44" s="9"/>
      <c r="I44" s="10"/>
      <c r="J44" s="10"/>
      <c r="K44" s="10"/>
      <c r="L44" s="9"/>
      <c r="N44" s="91"/>
      <c r="O44" s="43"/>
    </row>
    <row r="45" spans="2:15" x14ac:dyDescent="0.2">
      <c r="B45" s="57" t="s">
        <v>198</v>
      </c>
      <c r="C45" s="9"/>
      <c r="D45" s="9"/>
      <c r="E45" s="9"/>
      <c r="F45" s="9"/>
      <c r="G45" s="9"/>
      <c r="H45" s="9"/>
      <c r="I45" s="10"/>
      <c r="J45" s="10"/>
      <c r="K45" s="10"/>
      <c r="L45" s="9"/>
      <c r="N45" s="9"/>
      <c r="O45" s="43"/>
    </row>
    <row r="46" spans="2:15" s="21" customFormat="1" x14ac:dyDescent="0.2">
      <c r="B46" s="47"/>
      <c r="C46" s="20"/>
      <c r="D46" s="23"/>
      <c r="E46" s="22"/>
      <c r="F46" s="12"/>
      <c r="G46" s="20"/>
      <c r="H46" s="22"/>
      <c r="I46" s="11"/>
      <c r="J46" s="11"/>
      <c r="K46" s="20"/>
      <c r="L46" s="23"/>
      <c r="M46" s="23"/>
      <c r="N46" s="23"/>
      <c r="O46" s="48"/>
    </row>
    <row r="47" spans="2:15" s="21" customFormat="1" x14ac:dyDescent="0.2">
      <c r="B47" s="47"/>
      <c r="C47" s="11"/>
      <c r="D47" s="11"/>
      <c r="E47" s="11"/>
      <c r="F47" s="12"/>
      <c r="G47" s="11"/>
      <c r="H47" s="11"/>
      <c r="I47" s="11"/>
      <c r="J47" s="11"/>
      <c r="K47" s="11"/>
      <c r="L47" s="11"/>
      <c r="M47" s="11"/>
      <c r="N47" s="23"/>
      <c r="O47" s="48"/>
    </row>
    <row r="48" spans="2:15" s="21" customFormat="1" x14ac:dyDescent="0.2">
      <c r="B48" s="47"/>
      <c r="C48" s="11"/>
      <c r="D48" s="11"/>
      <c r="E48" s="11"/>
      <c r="F48" s="12"/>
      <c r="G48" s="11"/>
      <c r="H48" s="11"/>
      <c r="I48" s="11"/>
      <c r="J48" s="11"/>
      <c r="K48" s="11"/>
      <c r="L48" s="11"/>
      <c r="M48" s="11"/>
      <c r="N48" s="12"/>
      <c r="O48" s="48"/>
    </row>
    <row r="49" spans="2:15" s="21" customFormat="1" x14ac:dyDescent="0.2">
      <c r="B49" s="47"/>
      <c r="C49" s="18"/>
      <c r="D49" s="23"/>
      <c r="E49" s="15"/>
      <c r="F49" s="23"/>
      <c r="G49" s="18"/>
      <c r="H49" s="11"/>
      <c r="I49" s="11"/>
      <c r="J49" s="11"/>
      <c r="K49" s="18"/>
      <c r="L49" s="23"/>
      <c r="M49" s="23"/>
      <c r="N49" s="23"/>
      <c r="O49" s="48"/>
    </row>
    <row r="50" spans="2:15" s="21" customFormat="1" x14ac:dyDescent="0.2">
      <c r="B50" s="47"/>
      <c r="C50" s="20"/>
      <c r="D50" s="11"/>
      <c r="E50" s="11"/>
      <c r="F50" s="23"/>
      <c r="G50" s="11"/>
      <c r="H50" s="11"/>
      <c r="I50" s="11"/>
      <c r="J50" s="11"/>
      <c r="K50" s="11"/>
      <c r="L50" s="23"/>
      <c r="M50" s="23"/>
      <c r="N50" s="23"/>
      <c r="O50" s="48"/>
    </row>
    <row r="51" spans="2:15" s="21" customFormat="1" x14ac:dyDescent="0.2">
      <c r="B51" s="47"/>
      <c r="C51" s="20"/>
      <c r="D51" s="11"/>
      <c r="E51" s="11"/>
      <c r="F51" s="23"/>
      <c r="G51" s="11"/>
      <c r="H51" s="11"/>
      <c r="I51" s="11"/>
      <c r="J51" s="11"/>
      <c r="K51" s="11"/>
      <c r="L51" s="23"/>
      <c r="M51" s="23"/>
      <c r="N51" s="23"/>
      <c r="O51" s="48"/>
    </row>
    <row r="52" spans="2:15" s="21" customFormat="1" x14ac:dyDescent="0.2">
      <c r="B52" s="47"/>
      <c r="C52" s="20"/>
      <c r="D52" s="11"/>
      <c r="E52" s="11"/>
      <c r="F52" s="23"/>
      <c r="G52" s="11"/>
      <c r="H52" s="11"/>
      <c r="I52" s="11"/>
      <c r="J52" s="11"/>
      <c r="K52" s="11"/>
      <c r="L52" s="23"/>
      <c r="M52" s="23"/>
      <c r="N52" s="23"/>
      <c r="O52" s="48"/>
    </row>
    <row r="53" spans="2:15" ht="13.5" thickBot="1" x14ac:dyDescent="0.25">
      <c r="B53" s="49"/>
      <c r="C53" s="50"/>
      <c r="D53" s="50"/>
      <c r="E53" s="50"/>
      <c r="F53" s="50"/>
      <c r="G53" s="50"/>
      <c r="H53" s="50"/>
      <c r="I53" s="51"/>
      <c r="J53" s="51"/>
      <c r="K53" s="51"/>
      <c r="L53" s="50"/>
      <c r="N53" s="50"/>
      <c r="O53" s="52"/>
    </row>
  </sheetData>
  <mergeCells count="9">
    <mergeCell ref="B5:O5"/>
    <mergeCell ref="B4:O4"/>
    <mergeCell ref="B2:O2"/>
    <mergeCell ref="B9:D9"/>
    <mergeCell ref="H8:J8"/>
    <mergeCell ref="H7:L7"/>
    <mergeCell ref="B6:O6"/>
    <mergeCell ref="L8:L9"/>
    <mergeCell ref="B3:O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2"/>
  <sheetViews>
    <sheetView zoomScale="80" zoomScaleNormal="80" workbookViewId="0"/>
  </sheetViews>
  <sheetFormatPr baseColWidth="10" defaultColWidth="11.42578125" defaultRowHeight="12.75" x14ac:dyDescent="0.2"/>
  <cols>
    <col min="1" max="1" width="38.5703125" bestFit="1" customWidth="1"/>
    <col min="2" max="2" width="13.7109375" bestFit="1" customWidth="1"/>
    <col min="3" max="3" width="30.85546875" bestFit="1" customWidth="1"/>
    <col min="4" max="4" width="21.5703125" bestFit="1" customWidth="1"/>
    <col min="5" max="6" width="23.7109375" bestFit="1" customWidth="1"/>
    <col min="7" max="7" width="20.42578125" bestFit="1" customWidth="1"/>
    <col min="8" max="8" width="7" bestFit="1" customWidth="1"/>
    <col min="9" max="9" width="12.140625" bestFit="1" customWidth="1"/>
    <col min="10" max="10" width="21.5703125" bestFit="1" customWidth="1"/>
  </cols>
  <sheetData>
    <row r="1" spans="1:10" x14ac:dyDescent="0.2">
      <c r="A1" s="83" t="s">
        <v>27</v>
      </c>
      <c r="B1" s="83" t="s">
        <v>28</v>
      </c>
      <c r="C1" s="65" t="s">
        <v>29</v>
      </c>
      <c r="D1" s="66" t="s">
        <v>30</v>
      </c>
      <c r="E1" s="66" t="s">
        <v>31</v>
      </c>
      <c r="F1" s="66" t="s">
        <v>32</v>
      </c>
      <c r="G1" s="66" t="s">
        <v>33</v>
      </c>
      <c r="H1" s="66" t="s">
        <v>34</v>
      </c>
      <c r="I1" s="66" t="s">
        <v>35</v>
      </c>
      <c r="J1" s="66" t="s">
        <v>36</v>
      </c>
    </row>
    <row r="2" spans="1:10" x14ac:dyDescent="0.2">
      <c r="A2" s="67" t="s">
        <v>37</v>
      </c>
      <c r="B2" s="67" t="s">
        <v>28</v>
      </c>
      <c r="C2" s="67" t="s">
        <v>28</v>
      </c>
      <c r="D2" s="68">
        <f>[1]!BexGetData("DP_1","99O1PC6958DN44NJJNLMAOO3Y","SUMME")</f>
        <v>507782898.23000002</v>
      </c>
      <c r="E2" s="69">
        <f>[1]!BexGetData("DP_1","99O1PC6958DN44NJJNLMKVMZ2","SUMME")</f>
        <v>220672608739.19</v>
      </c>
      <c r="F2" s="69">
        <f>[1]!BexGetData("DP_1","99O1PC6958DN44NJJNLMV2LU6","SUMME")</f>
        <v>220545543956.12</v>
      </c>
      <c r="G2" s="69">
        <f>[1]!BexGetData("DP_1","99O1PC6958DN44NJJNLN54B2M","SUMME")</f>
        <v>-127064783.06999999</v>
      </c>
      <c r="H2" s="70">
        <f>[1]!BexGetData("DP_1","99O1PC6958DN44NJJNLNF60B2","SUMME")</f>
        <v>0</v>
      </c>
      <c r="I2" s="68">
        <f>[1]!BexGetData("DP_1","99O1PC6958DN44NKJ6WTU2JNS","SUMME")</f>
        <v>-0.25023446735388999</v>
      </c>
      <c r="J2" s="68">
        <f>[1]!BexGetData("DP_1","99O1PC6958DN44NKJ6WU5OFM0","SUMME")</f>
        <v>634847681.29999995</v>
      </c>
    </row>
    <row r="3" spans="1:10" x14ac:dyDescent="0.2">
      <c r="A3" s="84" t="s">
        <v>38</v>
      </c>
      <c r="B3" s="71" t="s">
        <v>39</v>
      </c>
      <c r="C3" s="66" t="s">
        <v>28</v>
      </c>
      <c r="D3" s="72">
        <f>[1]!BexGetData("DP_1","99O1PC6958DN44NJJNLMAOO3Y","CSDD")</f>
        <v>-4204827724.2800002</v>
      </c>
      <c r="E3" s="73">
        <f>[1]!BexGetData("DP_1","99O1PC6958DN44NJJNLMKVMZ2","CSDD")</f>
        <v>6416931175.5600004</v>
      </c>
      <c r="F3" s="73">
        <f>[1]!BexGetData("DP_1","99O1PC6958DN44NJJNLMV2LU6","CSDD")</f>
        <v>6206048186.8400002</v>
      </c>
      <c r="G3" s="73">
        <f>[1]!BexGetData("DP_1","99O1PC6958DN44NJJNLN54B2M","CSDD")</f>
        <v>-210882988.72</v>
      </c>
      <c r="H3" s="74">
        <f>[1]!BexGetData("DP_1","99O1PC6958DN44NJJNLNF60B2","CSDD")</f>
        <v>0</v>
      </c>
      <c r="I3" s="72">
        <f>[1]!BexGetData("DP_1","99O1PC6958DN44NKJ6WTU2JNS","CSDD")</f>
        <v>-5.0152587108930002E-2</v>
      </c>
      <c r="J3" s="72">
        <f>[1]!BexGetData("DP_1","99O1PC6958DN44NKJ6WU5OFM0","CSDD")</f>
        <v>-3993944735.5599999</v>
      </c>
    </row>
    <row r="4" spans="1:10" x14ac:dyDescent="0.2">
      <c r="A4" s="85" t="s">
        <v>40</v>
      </c>
      <c r="B4" s="75" t="s">
        <v>41</v>
      </c>
      <c r="C4" s="66" t="s">
        <v>28</v>
      </c>
      <c r="D4" s="72">
        <f>[1]!BexGetData("DP_1","99O1PC6958DN44NJJNLMAOO3Y","CSDDA")</f>
        <v>-4204827724.2800002</v>
      </c>
      <c r="E4" s="73">
        <f>[1]!BexGetData("DP_1","99O1PC6958DN44NJJNLMKVMZ2","CSDDA")</f>
        <v>6416931175.5600004</v>
      </c>
      <c r="F4" s="73">
        <f>[1]!BexGetData("DP_1","99O1PC6958DN44NJJNLMV2LU6","CSDDA")</f>
        <v>6206048186.8400002</v>
      </c>
      <c r="G4" s="73">
        <f>[1]!BexGetData("DP_1","99O1PC6958DN44NJJNLN54B2M","CSDDA")</f>
        <v>-210882988.72</v>
      </c>
      <c r="H4" s="74">
        <f>[1]!BexGetData("DP_1","99O1PC6958DN44NJJNLNF60B2","CSDDA")</f>
        <v>0</v>
      </c>
      <c r="I4" s="72">
        <f>[1]!BexGetData("DP_1","99O1PC6958DN44NKJ6WTU2JNS","CSDDA")</f>
        <v>-5.0152587108930002E-2</v>
      </c>
      <c r="J4" s="72">
        <f>[1]!BexGetData("DP_1","99O1PC6958DN44NKJ6WU5OFM0","CSDDA")</f>
        <v>-3993944735.5599999</v>
      </c>
    </row>
    <row r="5" spans="1:10" x14ac:dyDescent="0.2">
      <c r="A5" s="86" t="s">
        <v>42</v>
      </c>
      <c r="B5" s="76" t="s">
        <v>43</v>
      </c>
      <c r="C5" s="66" t="s">
        <v>28</v>
      </c>
      <c r="D5" s="73">
        <f>[1]!BexGetData("DP_1","99O1PC6958DN44NJJNLMAOO3Y","CSDDA1")</f>
        <v>-87572303.069999993</v>
      </c>
      <c r="E5" s="73">
        <f>[1]!BexGetData("DP_1","99O1PC6958DN44NJJNLMKVMZ2","CSDDA1")</f>
        <v>247692745.12</v>
      </c>
      <c r="F5" s="73">
        <f>[1]!BexGetData("DP_1","99O1PC6958DN44NJJNLMV2LU6","CSDDA1")</f>
        <v>253591140.81999999</v>
      </c>
      <c r="G5" s="73">
        <f>[1]!BexGetData("DP_1","99O1PC6958DN44NJJNLN54B2M","CSDDA1")</f>
        <v>5898395.7000000002</v>
      </c>
      <c r="H5" s="74">
        <f>[1]!BexGetData("DP_1","99O1PC6958DN44NJJNLNF60B2","CSDDA1")</f>
        <v>0</v>
      </c>
      <c r="I5" s="77">
        <f>[1]!BexGetData("DP_1","99O1PC6958DN44NKJ6WTU2JNS","CSDDA1")</f>
        <v>6.7354580080929996E-2</v>
      </c>
      <c r="J5" s="73">
        <f>[1]!BexGetData("DP_1","99O1PC6958DN44NKJ6WU5OFM0","CSDDA1")</f>
        <v>-93470698.769999996</v>
      </c>
    </row>
    <row r="6" spans="1:10" x14ac:dyDescent="0.2">
      <c r="A6" s="87" t="s">
        <v>44</v>
      </c>
      <c r="B6" s="78" t="s">
        <v>45</v>
      </c>
      <c r="C6" s="66" t="s">
        <v>28</v>
      </c>
      <c r="D6" s="73">
        <f>[1]!BexGetData("DP_1","99O1PC6958DN44NJJNLMAOO3Y","CSDDA11")</f>
        <v>-87572303.069999993</v>
      </c>
      <c r="E6" s="73">
        <f>[1]!BexGetData("DP_1","99O1PC6958DN44NJJNLMKVMZ2","CSDDA11")</f>
        <v>247692745.12</v>
      </c>
      <c r="F6" s="73">
        <f>[1]!BexGetData("DP_1","99O1PC6958DN44NJJNLMV2LU6","CSDDA11")</f>
        <v>253591140.81999999</v>
      </c>
      <c r="G6" s="73">
        <f>[1]!BexGetData("DP_1","99O1PC6958DN44NJJNLN54B2M","CSDDA11")</f>
        <v>5898395.7000000002</v>
      </c>
      <c r="H6" s="74">
        <f>[1]!BexGetData("DP_1","99O1PC6958DN44NJJNLNF60B2","CSDDA11")</f>
        <v>0</v>
      </c>
      <c r="I6" s="77">
        <f>[1]!BexGetData("DP_1","99O1PC6958DN44NKJ6WTU2JNS","CSDDA11")</f>
        <v>6.7354580080929996E-2</v>
      </c>
      <c r="J6" s="73">
        <f>[1]!BexGetData("DP_1","99O1PC6958DN44NKJ6WU5OFM0","CSDDA11")</f>
        <v>-93470698.769999996</v>
      </c>
    </row>
    <row r="7" spans="1:10" x14ac:dyDescent="0.2">
      <c r="A7" s="88" t="s">
        <v>46</v>
      </c>
      <c r="B7" s="78" t="s">
        <v>47</v>
      </c>
      <c r="C7" s="66" t="s">
        <v>28</v>
      </c>
      <c r="D7" s="73">
        <f>[1]!BexGetData("DP_1","99O1PC6958DN44NJJNLMAOO3Y","CSDDA111")</f>
        <v>-87572303.069999993</v>
      </c>
      <c r="E7" s="73">
        <f>[1]!BexGetData("DP_1","99O1PC6958DN44NJJNLMKVMZ2","CSDDA111")</f>
        <v>247692745.12</v>
      </c>
      <c r="F7" s="73">
        <f>[1]!BexGetData("DP_1","99O1PC6958DN44NJJNLMV2LU6","CSDDA111")</f>
        <v>253591140.81999999</v>
      </c>
      <c r="G7" s="73">
        <f>[1]!BexGetData("DP_1","99O1PC6958DN44NJJNLN54B2M","CSDDA111")</f>
        <v>5898395.7000000002</v>
      </c>
      <c r="H7" s="74">
        <f>[1]!BexGetData("DP_1","99O1PC6958DN44NJJNLNF60B2","CSDDA111")</f>
        <v>0</v>
      </c>
      <c r="I7" s="77">
        <f>[1]!BexGetData("DP_1","99O1PC6958DN44NKJ6WTU2JNS","CSDDA111")</f>
        <v>6.7354580080929996E-2</v>
      </c>
      <c r="J7" s="73">
        <f>[1]!BexGetData("DP_1","99O1PC6958DN44NKJ6WU5OFM0","CSDDA111")</f>
        <v>-93470698.769999996</v>
      </c>
    </row>
    <row r="8" spans="1:10" x14ac:dyDescent="0.2">
      <c r="A8" s="89" t="s">
        <v>48</v>
      </c>
      <c r="B8" s="78" t="s">
        <v>49</v>
      </c>
      <c r="C8" s="66" t="s">
        <v>50</v>
      </c>
      <c r="D8" s="73">
        <f>[1]!BexGetData("DP_1","99O1PC6958DN44NJJNLMAOO3Y","10000002101001")</f>
        <v>-87572303.069999993</v>
      </c>
      <c r="E8" s="73">
        <f>[1]!BexGetData("DP_1","99O1PC6958DN44NJJNLMKVMZ2","10000002101001")</f>
        <v>247692745.12</v>
      </c>
      <c r="F8" s="73">
        <f>[1]!BexGetData("DP_1","99O1PC6958DN44NJJNLMV2LU6","10000002101001")</f>
        <v>253591140.81999999</v>
      </c>
      <c r="G8" s="73">
        <f>[1]!BexGetData("DP_1","99O1PC6958DN44NJJNLN54B2M","10000002101001")</f>
        <v>5898395.7000000002</v>
      </c>
      <c r="H8" s="74">
        <f>[1]!BexGetData("DP_1","99O1PC6958DN44NJJNLNF60B2","10000002101001")</f>
        <v>0</v>
      </c>
      <c r="I8" s="77">
        <f>[1]!BexGetData("DP_1","99O1PC6958DN44NKJ6WTU2JNS","10000002101001")</f>
        <v>6.7354580080929996E-2</v>
      </c>
      <c r="J8" s="73">
        <f>[1]!BexGetData("DP_1","99O1PC6958DN44NKJ6WU5OFM0","10000002101001")</f>
        <v>-93470698.769999996</v>
      </c>
    </row>
    <row r="9" spans="1:10" x14ac:dyDescent="0.2">
      <c r="A9" s="86" t="s">
        <v>51</v>
      </c>
      <c r="B9" s="76" t="s">
        <v>52</v>
      </c>
      <c r="C9" s="66" t="s">
        <v>28</v>
      </c>
      <c r="D9" s="73">
        <f>[1]!BexGetData("DP_1","99O1PC6958DN44NJJNLMAOO3Y","CSDDA2")</f>
        <v>-2474711846.5799999</v>
      </c>
      <c r="E9" s="73">
        <f>[1]!BexGetData("DP_1","99O1PC6958DN44NJJNLMKVMZ2","CSDDA2")</f>
        <v>70864776.349999994</v>
      </c>
      <c r="F9" s="79">
        <f>[1]!BexGetData("DP_1","99O1PC6958DN44NJJNLMV2LU6","CSDDA2")</f>
        <v>0</v>
      </c>
      <c r="G9" s="73">
        <f>[1]!BexGetData("DP_1","99O1PC6958DN44NJJNLN54B2M","CSDDA2")</f>
        <v>-70864776.349999994</v>
      </c>
      <c r="H9" s="74">
        <f>[1]!BexGetData("DP_1","99O1PC6958DN44NJJNLNF60B2","CSDDA2")</f>
        <v>0</v>
      </c>
      <c r="I9" s="77">
        <f>[1]!BexGetData("DP_1","99O1PC6958DN44NKJ6WTU2JNS","CSDDA2")</f>
        <v>-2.863556678243E-2</v>
      </c>
      <c r="J9" s="73">
        <f>[1]!BexGetData("DP_1","99O1PC6958DN44NKJ6WU5OFM0","CSDDA2")</f>
        <v>-2403847070.23</v>
      </c>
    </row>
    <row r="10" spans="1:10" x14ac:dyDescent="0.2">
      <c r="A10" s="87" t="s">
        <v>44</v>
      </c>
      <c r="B10" s="78" t="s">
        <v>53</v>
      </c>
      <c r="C10" s="66" t="s">
        <v>28</v>
      </c>
      <c r="D10" s="73">
        <f>[1]!BexGetData("DP_1","99O1PC6958DN44NJJNLMAOO3Y","CSDDA21")</f>
        <v>-2474711846.5799999</v>
      </c>
      <c r="E10" s="73">
        <f>[1]!BexGetData("DP_1","99O1PC6958DN44NJJNLMKVMZ2","CSDDA21")</f>
        <v>70864776.349999994</v>
      </c>
      <c r="F10" s="79">
        <f>[1]!BexGetData("DP_1","99O1PC6958DN44NJJNLMV2LU6","CSDDA21")</f>
        <v>0</v>
      </c>
      <c r="G10" s="73">
        <f>[1]!BexGetData("DP_1","99O1PC6958DN44NJJNLN54B2M","CSDDA21")</f>
        <v>-70864776.349999994</v>
      </c>
      <c r="H10" s="74">
        <f>[1]!BexGetData("DP_1","99O1PC6958DN44NJJNLNF60B2","CSDDA21")</f>
        <v>0</v>
      </c>
      <c r="I10" s="77">
        <f>[1]!BexGetData("DP_1","99O1PC6958DN44NKJ6WTU2JNS","CSDDA21")</f>
        <v>-2.863556678243E-2</v>
      </c>
      <c r="J10" s="73">
        <f>[1]!BexGetData("DP_1","99O1PC6958DN44NKJ6WU5OFM0","CSDDA21")</f>
        <v>-2403847070.23</v>
      </c>
    </row>
    <row r="11" spans="1:10" x14ac:dyDescent="0.2">
      <c r="A11" s="88" t="s">
        <v>46</v>
      </c>
      <c r="B11" s="78" t="s">
        <v>54</v>
      </c>
      <c r="C11" s="66" t="s">
        <v>28</v>
      </c>
      <c r="D11" s="73">
        <f>[1]!BexGetData("DP_1","99O1PC6958DN44NJJNLMAOO3Y","CSDDA211")</f>
        <v>-2474711846.5799999</v>
      </c>
      <c r="E11" s="73">
        <f>[1]!BexGetData("DP_1","99O1PC6958DN44NJJNLMKVMZ2","CSDDA211")</f>
        <v>70864776.349999994</v>
      </c>
      <c r="F11" s="79">
        <f>[1]!BexGetData("DP_1","99O1PC6958DN44NJJNLMV2LU6","CSDDA211")</f>
        <v>0</v>
      </c>
      <c r="G11" s="73">
        <f>[1]!BexGetData("DP_1","99O1PC6958DN44NJJNLN54B2M","CSDDA211")</f>
        <v>-70864776.349999994</v>
      </c>
      <c r="H11" s="74">
        <f>[1]!BexGetData("DP_1","99O1PC6958DN44NJJNLNF60B2","CSDDA211")</f>
        <v>0</v>
      </c>
      <c r="I11" s="77">
        <f>[1]!BexGetData("DP_1","99O1PC6958DN44NKJ6WTU2JNS","CSDDA211")</f>
        <v>-2.863556678243E-2</v>
      </c>
      <c r="J11" s="73">
        <f>[1]!BexGetData("DP_1","99O1PC6958DN44NKJ6WU5OFM0","CSDDA211")</f>
        <v>-2403847070.23</v>
      </c>
    </row>
    <row r="12" spans="1:10" x14ac:dyDescent="0.2">
      <c r="A12" s="89" t="s">
        <v>55</v>
      </c>
      <c r="B12" s="78" t="s">
        <v>56</v>
      </c>
      <c r="C12" s="66" t="s">
        <v>57</v>
      </c>
      <c r="D12" s="73">
        <f>[1]!BexGetData("DP_1","99O1PC6958DN44NJJNLMAOO3Y","10000002201001")</f>
        <v>-2474711846.5799999</v>
      </c>
      <c r="E12" s="73">
        <f>[1]!BexGetData("DP_1","99O1PC6958DN44NJJNLMKVMZ2","10000002201001")</f>
        <v>70864776.349999994</v>
      </c>
      <c r="F12" s="79">
        <f>[1]!BexGetData("DP_1","99O1PC6958DN44NJJNLMV2LU6","10000002201001")</f>
        <v>0</v>
      </c>
      <c r="G12" s="73">
        <f>[1]!BexGetData("DP_1","99O1PC6958DN44NJJNLN54B2M","10000002201001")</f>
        <v>-70864776.349999994</v>
      </c>
      <c r="H12" s="74">
        <f>[1]!BexGetData("DP_1","99O1PC6958DN44NJJNLNF60B2","10000002201001")</f>
        <v>0</v>
      </c>
      <c r="I12" s="77">
        <f>[1]!BexGetData("DP_1","99O1PC6958DN44NKJ6WTU2JNS","10000002201001")</f>
        <v>-2.863556678243E-2</v>
      </c>
      <c r="J12" s="73">
        <f>[1]!BexGetData("DP_1","99O1PC6958DN44NKJ6WU5OFM0","10000002201001")</f>
        <v>-2403847070.23</v>
      </c>
    </row>
    <row r="13" spans="1:10" x14ac:dyDescent="0.2">
      <c r="A13" s="86" t="s">
        <v>58</v>
      </c>
      <c r="B13" s="76" t="s">
        <v>59</v>
      </c>
      <c r="C13" s="66" t="s">
        <v>28</v>
      </c>
      <c r="D13" s="72">
        <f>[1]!BexGetData("DP_1","99O1PC6958DN44NJJNLMAOO3Y","CSDDA3")</f>
        <v>-1642543574.6300001</v>
      </c>
      <c r="E13" s="73">
        <f>[1]!BexGetData("DP_1","99O1PC6958DN44NJJNLMKVMZ2","CSDDA3")</f>
        <v>6098373654.0900002</v>
      </c>
      <c r="F13" s="73">
        <f>[1]!BexGetData("DP_1","99O1PC6958DN44NJJNLMV2LU6","CSDDA3")</f>
        <v>5952457046.0200005</v>
      </c>
      <c r="G13" s="73">
        <f>[1]!BexGetData("DP_1","99O1PC6958DN44NJJNLN54B2M","CSDDA3")</f>
        <v>-145916608.06999999</v>
      </c>
      <c r="H13" s="74">
        <f>[1]!BexGetData("DP_1","99O1PC6958DN44NJJNLNF60B2","CSDDA3")</f>
        <v>0</v>
      </c>
      <c r="I13" s="72">
        <f>[1]!BexGetData("DP_1","99O1PC6958DN44NKJ6WTU2JNS","CSDDA3")</f>
        <v>-8.8835760782099996E-2</v>
      </c>
      <c r="J13" s="72">
        <f>[1]!BexGetData("DP_1","99O1PC6958DN44NKJ6WU5OFM0","CSDDA3")</f>
        <v>-1496626966.5599999</v>
      </c>
    </row>
    <row r="14" spans="1:10" x14ac:dyDescent="0.2">
      <c r="A14" s="87" t="s">
        <v>60</v>
      </c>
      <c r="B14" s="78" t="s">
        <v>61</v>
      </c>
      <c r="C14" s="66" t="s">
        <v>28</v>
      </c>
      <c r="D14" s="72">
        <f>[1]!BexGetData("DP_1","99O1PC6958DN44NJJNLMAOO3Y","CSDDA31")</f>
        <v>-1449100099.79</v>
      </c>
      <c r="E14" s="73">
        <f>[1]!BexGetData("DP_1","99O1PC6958DN44NJJNLMKVMZ2","CSDDA31")</f>
        <v>6095995331.71</v>
      </c>
      <c r="F14" s="73">
        <f>[1]!BexGetData("DP_1","99O1PC6958DN44NJJNLMV2LU6","CSDDA31")</f>
        <v>5951956938.4700003</v>
      </c>
      <c r="G14" s="73">
        <f>[1]!BexGetData("DP_1","99O1PC6958DN44NJJNLN54B2M","CSDDA31")</f>
        <v>-144038393.24000001</v>
      </c>
      <c r="H14" s="74">
        <f>[1]!BexGetData("DP_1","99O1PC6958DN44NJJNLNF60B2","CSDDA31")</f>
        <v>0</v>
      </c>
      <c r="I14" s="72">
        <f>[1]!BexGetData("DP_1","99O1PC6958DN44NKJ6WTU2JNS","CSDDA31")</f>
        <v>-9.9398511711420001E-2</v>
      </c>
      <c r="J14" s="72">
        <f>[1]!BexGetData("DP_1","99O1PC6958DN44NKJ6WU5OFM0","CSDDA31")</f>
        <v>-1305061706.55</v>
      </c>
    </row>
    <row r="15" spans="1:10" x14ac:dyDescent="0.2">
      <c r="A15" s="88" t="s">
        <v>62</v>
      </c>
      <c r="B15" s="78" t="s">
        <v>63</v>
      </c>
      <c r="C15" s="66" t="s">
        <v>28</v>
      </c>
      <c r="D15" s="72">
        <f>[1]!BexGetData("DP_1","99O1PC6958DN44NJJNLMAOO3Y","CSDDA311")</f>
        <v>-1268107589.4300001</v>
      </c>
      <c r="E15" s="73">
        <f>[1]!BexGetData("DP_1","99O1PC6958DN44NJJNLMKVMZ2","CSDDA311")</f>
        <v>4683306601.0799999</v>
      </c>
      <c r="F15" s="73">
        <f>[1]!BexGetData("DP_1","99O1PC6958DN44NJJNLMV2LU6","CSDDA311")</f>
        <v>4424850592.0600004</v>
      </c>
      <c r="G15" s="73">
        <f>[1]!BexGetData("DP_1","99O1PC6958DN44NJJNLN54B2M","CSDDA311")</f>
        <v>-258456009.02000001</v>
      </c>
      <c r="H15" s="74">
        <f>[1]!BexGetData("DP_1","99O1PC6958DN44NJJNLNF60B2","CSDDA311")</f>
        <v>0</v>
      </c>
      <c r="I15" s="72">
        <f>[1]!BexGetData("DP_1","99O1PC6958DN44NKJ6WTU2JNS","CSDDA311")</f>
        <v>-0.20381236669057001</v>
      </c>
      <c r="J15" s="72">
        <f>[1]!BexGetData("DP_1","99O1PC6958DN44NKJ6WU5OFM0","CSDDA311")</f>
        <v>-1009651580.41</v>
      </c>
    </row>
    <row r="16" spans="1:10" x14ac:dyDescent="0.2">
      <c r="A16" s="89" t="s">
        <v>64</v>
      </c>
      <c r="B16" s="78" t="s">
        <v>65</v>
      </c>
      <c r="C16" s="66" t="s">
        <v>66</v>
      </c>
      <c r="D16" s="73">
        <f>[1]!BexGetData("DP_1","99O1PC6958DN44NJJNLMAOO3Y","10000002102001")</f>
        <v>-354928236.63</v>
      </c>
      <c r="E16" s="73">
        <f>[1]!BexGetData("DP_1","99O1PC6958DN44NJJNLMKVMZ2","10000002102001")</f>
        <v>2042011662.3399999</v>
      </c>
      <c r="F16" s="73">
        <f>[1]!BexGetData("DP_1","99O1PC6958DN44NJJNLMV2LU6","10000002102001")</f>
        <v>1886444624.5999999</v>
      </c>
      <c r="G16" s="73">
        <f>[1]!BexGetData("DP_1","99O1PC6958DN44NJJNLN54B2M","10000002102001")</f>
        <v>-155567037.74000001</v>
      </c>
      <c r="H16" s="74">
        <f>[1]!BexGetData("DP_1","99O1PC6958DN44NJJNLNF60B2","10000002102001")</f>
        <v>0</v>
      </c>
      <c r="I16" s="77">
        <f>[1]!BexGetData("DP_1","99O1PC6958DN44NKJ6WTU2JNS","10000002102001")</f>
        <v>-0.43830561134579998</v>
      </c>
      <c r="J16" s="73">
        <f>[1]!BexGetData("DP_1","99O1PC6958DN44NKJ6WU5OFM0","10000002102001")</f>
        <v>-199361198.88999999</v>
      </c>
    </row>
    <row r="17" spans="1:10" x14ac:dyDescent="0.2">
      <c r="A17" s="89" t="s">
        <v>67</v>
      </c>
      <c r="B17" s="78" t="s">
        <v>68</v>
      </c>
      <c r="C17" s="66" t="s">
        <v>69</v>
      </c>
      <c r="D17" s="73">
        <f>[1]!BexGetData("DP_1","99O1PC6958DN44NJJNLMAOO3Y","10000002102002")</f>
        <v>-106121921.75</v>
      </c>
      <c r="E17" s="73">
        <f>[1]!BexGetData("DP_1","99O1PC6958DN44NJJNLMKVMZ2","10000002102002")</f>
        <v>609111946.48000002</v>
      </c>
      <c r="F17" s="73">
        <f>[1]!BexGetData("DP_1","99O1PC6958DN44NJJNLMV2LU6","10000002102002")</f>
        <v>549524325.85000002</v>
      </c>
      <c r="G17" s="73">
        <f>[1]!BexGetData("DP_1","99O1PC6958DN44NJJNLN54B2M","10000002102002")</f>
        <v>-59587620.630000003</v>
      </c>
      <c r="H17" s="74">
        <f>[1]!BexGetData("DP_1","99O1PC6958DN44NJJNLNF60B2","10000002102002")</f>
        <v>0</v>
      </c>
      <c r="I17" s="77">
        <f>[1]!BexGetData("DP_1","99O1PC6958DN44NKJ6WTU2JNS","10000002102002")</f>
        <v>-0.56150152246937002</v>
      </c>
      <c r="J17" s="73">
        <f>[1]!BexGetData("DP_1","99O1PC6958DN44NKJ6WU5OFM0","10000002102002")</f>
        <v>-46534301.119999997</v>
      </c>
    </row>
    <row r="18" spans="1:10" x14ac:dyDescent="0.2">
      <c r="A18" s="89" t="s">
        <v>70</v>
      </c>
      <c r="B18" s="78" t="s">
        <v>71</v>
      </c>
      <c r="C18" s="66" t="s">
        <v>72</v>
      </c>
      <c r="D18" s="73">
        <f>[1]!BexGetData("DP_1","99O1PC6958DN44NJJNLMAOO3Y","10000002102003")</f>
        <v>-27262.04</v>
      </c>
      <c r="E18" s="73">
        <f>[1]!BexGetData("DP_1","99O1PC6958DN44NJJNLMKVMZ2","10000002102003")</f>
        <v>22825997.57</v>
      </c>
      <c r="F18" s="73">
        <f>[1]!BexGetData("DP_1","99O1PC6958DN44NJJNLMV2LU6","10000002102003")</f>
        <v>22838820.449999999</v>
      </c>
      <c r="G18" s="73">
        <f>[1]!BexGetData("DP_1","99O1PC6958DN44NJJNLN54B2M","10000002102003")</f>
        <v>12822.88</v>
      </c>
      <c r="H18" s="74">
        <f>[1]!BexGetData("DP_1","99O1PC6958DN44NJJNLNF60B2","10000002102003")</f>
        <v>0</v>
      </c>
      <c r="I18" s="77">
        <f>[1]!BexGetData("DP_1","99O1PC6958DN44NKJ6WTU2JNS","10000002102003")</f>
        <v>0.47035658373327999</v>
      </c>
      <c r="J18" s="73">
        <f>[1]!BexGetData("DP_1","99O1PC6958DN44NKJ6WU5OFM0","10000002102003")</f>
        <v>-40084.92</v>
      </c>
    </row>
    <row r="19" spans="1:10" x14ac:dyDescent="0.2">
      <c r="A19" s="89" t="s">
        <v>73</v>
      </c>
      <c r="B19" s="78" t="s">
        <v>74</v>
      </c>
      <c r="C19" s="66" t="s">
        <v>75</v>
      </c>
      <c r="D19" s="73">
        <f>[1]!BexGetData("DP_1","99O1PC6958DN44NJJNLMAOO3Y","10000002102004")</f>
        <v>-54371298.490000002</v>
      </c>
      <c r="E19" s="73">
        <f>[1]!BexGetData("DP_1","99O1PC6958DN44NJJNLMKVMZ2","10000002102004")</f>
        <v>300008211.94999999</v>
      </c>
      <c r="F19" s="73">
        <f>[1]!BexGetData("DP_1","99O1PC6958DN44NJJNLMV2LU6","10000002102004")</f>
        <v>261481100.81999999</v>
      </c>
      <c r="G19" s="73">
        <f>[1]!BexGetData("DP_1","99O1PC6958DN44NJJNLN54B2M","10000002102004")</f>
        <v>-38527111.130000003</v>
      </c>
      <c r="H19" s="74">
        <f>[1]!BexGetData("DP_1","99O1PC6958DN44NJJNLNF60B2","10000002102004")</f>
        <v>0</v>
      </c>
      <c r="I19" s="77">
        <f>[1]!BexGetData("DP_1","99O1PC6958DN44NKJ6WTU2JNS","10000002102004")</f>
        <v>-0.70859280907345001</v>
      </c>
      <c r="J19" s="73">
        <f>[1]!BexGetData("DP_1","99O1PC6958DN44NKJ6WU5OFM0","10000002102004")</f>
        <v>-15844187.359999999</v>
      </c>
    </row>
    <row r="20" spans="1:10" x14ac:dyDescent="0.2">
      <c r="A20" s="89" t="s">
        <v>76</v>
      </c>
      <c r="B20" s="78" t="s">
        <v>77</v>
      </c>
      <c r="C20" s="66" t="s">
        <v>78</v>
      </c>
      <c r="D20" s="80">
        <f>[1]!BexGetData("DP_1","99O1PC6958DN44NJJNLMAOO3Y","10000002102006")</f>
        <v>0</v>
      </c>
      <c r="E20" s="79">
        <f>[1]!BexGetData("DP_1","99O1PC6958DN44NJJNLMKVMZ2","10000002102006")</f>
        <v>0</v>
      </c>
      <c r="F20" s="79">
        <f>[1]!BexGetData("DP_1","99O1PC6958DN44NJJNLMV2LU6","10000002102006")</f>
        <v>0</v>
      </c>
      <c r="G20" s="79">
        <f>[1]!BexGetData("DP_1","99O1PC6958DN44NJJNLN54B2M","10000002102006")</f>
        <v>0</v>
      </c>
      <c r="H20" s="74">
        <f>[1]!BexGetData("DP_1","99O1PC6958DN44NJJNLNF60B2","10000002102006")</f>
        <v>0</v>
      </c>
      <c r="I20" s="81">
        <f>[1]!BexGetData("DP_1","99O1PC6958DN44NKJ6WTU2JNS","10000002102006")</f>
        <v>0</v>
      </c>
      <c r="J20" s="80">
        <f>[1]!BexGetData("DP_1","99O1PC6958DN44NKJ6WU5OFM0","10000002102006")</f>
        <v>0</v>
      </c>
    </row>
    <row r="21" spans="1:10" x14ac:dyDescent="0.2">
      <c r="A21" s="89" t="s">
        <v>79</v>
      </c>
      <c r="B21" s="78" t="s">
        <v>80</v>
      </c>
      <c r="C21" s="66" t="s">
        <v>81</v>
      </c>
      <c r="D21" s="79">
        <f>[1]!BexGetData("DP_1","99O1PC6958DN44NJJNLMAOO3Y","10000002103001")</f>
        <v>0</v>
      </c>
      <c r="E21" s="79">
        <f>[1]!BexGetData("DP_1","99O1PC6958DN44NJJNLMKVMZ2","10000002103001")</f>
        <v>0</v>
      </c>
      <c r="F21" s="79">
        <f>[1]!BexGetData("DP_1","99O1PC6958DN44NJJNLMV2LU6","10000002103001")</f>
        <v>0</v>
      </c>
      <c r="G21" s="79">
        <f>[1]!BexGetData("DP_1","99O1PC6958DN44NJJNLN54B2M","10000002103001")</f>
        <v>0</v>
      </c>
      <c r="H21" s="74">
        <f>[1]!BexGetData("DP_1","99O1PC6958DN44NJJNLNF60B2","10000002103001")</f>
        <v>0</v>
      </c>
      <c r="I21" s="81">
        <f>[1]!BexGetData("DP_1","99O1PC6958DN44NKJ6WTU2JNS","10000002103001")</f>
        <v>0</v>
      </c>
      <c r="J21" s="79">
        <f>[1]!BexGetData("DP_1","99O1PC6958DN44NKJ6WU5OFM0","10000002103001")</f>
        <v>0</v>
      </c>
    </row>
    <row r="22" spans="1:10" x14ac:dyDescent="0.2">
      <c r="A22" s="89" t="s">
        <v>82</v>
      </c>
      <c r="B22" s="78" t="s">
        <v>83</v>
      </c>
      <c r="C22" s="66" t="s">
        <v>84</v>
      </c>
      <c r="D22" s="73">
        <f>[1]!BexGetData("DP_1","99O1PC6958DN44NJJNLMAOO3Y","10000002103002")</f>
        <v>-572824.74</v>
      </c>
      <c r="E22" s="73">
        <f>[1]!BexGetData("DP_1","99O1PC6958DN44NJJNLMKVMZ2","10000002103002")</f>
        <v>2840610.15</v>
      </c>
      <c r="F22" s="73">
        <f>[1]!BexGetData("DP_1","99O1PC6958DN44NJJNLMV2LU6","10000002103002")</f>
        <v>2393753.54</v>
      </c>
      <c r="G22" s="73">
        <f>[1]!BexGetData("DP_1","99O1PC6958DN44NJJNLN54B2M","10000002103002")</f>
        <v>-446856.61</v>
      </c>
      <c r="H22" s="74">
        <f>[1]!BexGetData("DP_1","99O1PC6958DN44NJJNLNF60B2","10000002103002")</f>
        <v>0</v>
      </c>
      <c r="I22" s="77">
        <f>[1]!BexGetData("DP_1","99O1PC6958DN44NKJ6WTU2JNS","10000002103002")</f>
        <v>-0.78009307000253003</v>
      </c>
      <c r="J22" s="73">
        <f>[1]!BexGetData("DP_1","99O1PC6958DN44NKJ6WU5OFM0","10000002103002")</f>
        <v>-125968.13</v>
      </c>
    </row>
    <row r="23" spans="1:10" x14ac:dyDescent="0.2">
      <c r="A23" s="89" t="s">
        <v>85</v>
      </c>
      <c r="B23" s="78" t="s">
        <v>86</v>
      </c>
      <c r="C23" s="66" t="s">
        <v>87</v>
      </c>
      <c r="D23" s="79">
        <f>[1]!BexGetData("DP_1","99O1PC6958DN44NJJNLMAOO3Y","10000002103006")</f>
        <v>0</v>
      </c>
      <c r="E23" s="79">
        <f>[1]!BexGetData("DP_1","99O1PC6958DN44NJJNLMKVMZ2","10000002103006")</f>
        <v>0</v>
      </c>
      <c r="F23" s="79">
        <f>[1]!BexGetData("DP_1","99O1PC6958DN44NJJNLMV2LU6","10000002103006")</f>
        <v>0</v>
      </c>
      <c r="G23" s="79">
        <f>[1]!BexGetData("DP_1","99O1PC6958DN44NJJNLN54B2M","10000002103006")</f>
        <v>0</v>
      </c>
      <c r="H23" s="74">
        <f>[1]!BexGetData("DP_1","99O1PC6958DN44NJJNLNF60B2","10000002103006")</f>
        <v>0</v>
      </c>
      <c r="I23" s="81">
        <f>[1]!BexGetData("DP_1","99O1PC6958DN44NKJ6WTU2JNS","10000002103006")</f>
        <v>0</v>
      </c>
      <c r="J23" s="79">
        <f>[1]!BexGetData("DP_1","99O1PC6958DN44NKJ6WU5OFM0","10000002103006")</f>
        <v>0</v>
      </c>
    </row>
    <row r="24" spans="1:10" x14ac:dyDescent="0.2">
      <c r="A24" s="89" t="s">
        <v>88</v>
      </c>
      <c r="B24" s="78" t="s">
        <v>89</v>
      </c>
      <c r="C24" s="66" t="s">
        <v>90</v>
      </c>
      <c r="D24" s="79">
        <f>[1]!BexGetData("DP_1","99O1PC6958DN44NJJNLMAOO3Y","10000002103010")</f>
        <v>0</v>
      </c>
      <c r="E24" s="73">
        <f>[1]!BexGetData("DP_1","99O1PC6958DN44NJJNLMKVMZ2","10000002103010")</f>
        <v>1021096.61</v>
      </c>
      <c r="F24" s="73">
        <f>[1]!BexGetData("DP_1","99O1PC6958DN44NJJNLMV2LU6","10000002103010")</f>
        <v>1021096.61</v>
      </c>
      <c r="G24" s="79">
        <f>[1]!BexGetData("DP_1","99O1PC6958DN44NJJNLN54B2M","10000002103010")</f>
        <v>0</v>
      </c>
      <c r="H24" s="74">
        <f>[1]!BexGetData("DP_1","99O1PC6958DN44NJJNLNF60B2","10000002103010")</f>
        <v>0</v>
      </c>
      <c r="I24" s="81">
        <f>[1]!BexGetData("DP_1","99O1PC6958DN44NKJ6WTU2JNS","10000002103010")</f>
        <v>0</v>
      </c>
      <c r="J24" s="79">
        <f>[1]!BexGetData("DP_1","99O1PC6958DN44NKJ6WU5OFM0","10000002103010")</f>
        <v>0</v>
      </c>
    </row>
    <row r="25" spans="1:10" x14ac:dyDescent="0.2">
      <c r="A25" s="89" t="s">
        <v>91</v>
      </c>
      <c r="B25" s="78" t="s">
        <v>92</v>
      </c>
      <c r="C25" s="66" t="s">
        <v>93</v>
      </c>
      <c r="D25" s="73">
        <f>[1]!BexGetData("DP_1","99O1PC6958DN44NJJNLMAOO3Y","10000002103011")</f>
        <v>-375716.55</v>
      </c>
      <c r="E25" s="73">
        <f>[1]!BexGetData("DP_1","99O1PC6958DN44NJJNLMKVMZ2","10000002103011")</f>
        <v>3464452.24</v>
      </c>
      <c r="F25" s="73">
        <f>[1]!BexGetData("DP_1","99O1PC6958DN44NJJNLMV2LU6","10000002103011")</f>
        <v>3425332.23</v>
      </c>
      <c r="G25" s="73">
        <f>[1]!BexGetData("DP_1","99O1PC6958DN44NJJNLN54B2M","10000002103011")</f>
        <v>-39120.01</v>
      </c>
      <c r="H25" s="74">
        <f>[1]!BexGetData("DP_1","99O1PC6958DN44NJJNLNF60B2","10000002103011")</f>
        <v>0</v>
      </c>
      <c r="I25" s="77">
        <f>[1]!BexGetData("DP_1","99O1PC6958DN44NKJ6WTU2JNS","10000002103011")</f>
        <v>-0.10412107212206</v>
      </c>
      <c r="J25" s="73">
        <f>[1]!BexGetData("DP_1","99O1PC6958DN44NKJ6WU5OFM0","10000002103011")</f>
        <v>-336596.54</v>
      </c>
    </row>
    <row r="26" spans="1:10" x14ac:dyDescent="0.2">
      <c r="A26" s="89" t="s">
        <v>94</v>
      </c>
      <c r="B26" s="78" t="s">
        <v>95</v>
      </c>
      <c r="C26" s="66" t="s">
        <v>96</v>
      </c>
      <c r="D26" s="79">
        <f>[1]!BexGetData("DP_1","99O1PC6958DN44NJJNLMAOO3Y","10000002103012")</f>
        <v>0</v>
      </c>
      <c r="E26" s="73">
        <f>[1]!BexGetData("DP_1","99O1PC6958DN44NJJNLMKVMZ2","10000002103012")</f>
        <v>9039.25</v>
      </c>
      <c r="F26" s="73">
        <f>[1]!BexGetData("DP_1","99O1PC6958DN44NJJNLMV2LU6","10000002103012")</f>
        <v>9039.25</v>
      </c>
      <c r="G26" s="79">
        <f>[1]!BexGetData("DP_1","99O1PC6958DN44NJJNLN54B2M","10000002103012")</f>
        <v>0</v>
      </c>
      <c r="H26" s="74">
        <f>[1]!BexGetData("DP_1","99O1PC6958DN44NJJNLNF60B2","10000002103012")</f>
        <v>0</v>
      </c>
      <c r="I26" s="81">
        <f>[1]!BexGetData("DP_1","99O1PC6958DN44NKJ6WTU2JNS","10000002103012")</f>
        <v>0</v>
      </c>
      <c r="J26" s="79">
        <f>[1]!BexGetData("DP_1","99O1PC6958DN44NKJ6WU5OFM0","10000002103012")</f>
        <v>0</v>
      </c>
    </row>
    <row r="27" spans="1:10" x14ac:dyDescent="0.2">
      <c r="A27" s="89" t="s">
        <v>97</v>
      </c>
      <c r="B27" s="78" t="s">
        <v>98</v>
      </c>
      <c r="C27" s="66" t="s">
        <v>99</v>
      </c>
      <c r="D27" s="73">
        <f>[1]!BexGetData("DP_1","99O1PC6958DN44NJJNLMAOO3Y","10000002103013")</f>
        <v>-109421130.2</v>
      </c>
      <c r="E27" s="73">
        <f>[1]!BexGetData("DP_1","99O1PC6958DN44NJJNLMKVMZ2","10000002103013")</f>
        <v>130858099.54000001</v>
      </c>
      <c r="F27" s="73">
        <f>[1]!BexGetData("DP_1","99O1PC6958DN44NJJNLMV2LU6","10000002103013")</f>
        <v>24272049.34</v>
      </c>
      <c r="G27" s="73">
        <f>[1]!BexGetData("DP_1","99O1PC6958DN44NJJNLN54B2M","10000002103013")</f>
        <v>-106586050.2</v>
      </c>
      <c r="H27" s="74">
        <f>[1]!BexGetData("DP_1","99O1PC6958DN44NJJNLNF60B2","10000002103013")</f>
        <v>0</v>
      </c>
      <c r="I27" s="77">
        <f>[1]!BexGetData("DP_1","99O1PC6958DN44NKJ6WTU2JNS","10000002103013")</f>
        <v>-0.97409019633759997</v>
      </c>
      <c r="J27" s="73">
        <f>[1]!BexGetData("DP_1","99O1PC6958DN44NKJ6WU5OFM0","10000002103013")</f>
        <v>-2835080</v>
      </c>
    </row>
    <row r="28" spans="1:10" x14ac:dyDescent="0.2">
      <c r="A28" s="89" t="s">
        <v>100</v>
      </c>
      <c r="B28" s="78" t="s">
        <v>101</v>
      </c>
      <c r="C28" s="66" t="s">
        <v>102</v>
      </c>
      <c r="D28" s="79">
        <f>[1]!BexGetData("DP_1","99O1PC6958DN44NJJNLMAOO3Y","10000002103014")</f>
        <v>0</v>
      </c>
      <c r="E28" s="79">
        <f>[1]!BexGetData("DP_1","99O1PC6958DN44NJJNLMKVMZ2","10000002103014")</f>
        <v>0</v>
      </c>
      <c r="F28" s="79">
        <f>[1]!BexGetData("DP_1","99O1PC6958DN44NJJNLMV2LU6","10000002103014")</f>
        <v>0</v>
      </c>
      <c r="G28" s="79">
        <f>[1]!BexGetData("DP_1","99O1PC6958DN44NJJNLN54B2M","10000002103014")</f>
        <v>0</v>
      </c>
      <c r="H28" s="74">
        <f>[1]!BexGetData("DP_1","99O1PC6958DN44NJJNLNF60B2","10000002103014")</f>
        <v>0</v>
      </c>
      <c r="I28" s="81">
        <f>[1]!BexGetData("DP_1","99O1PC6958DN44NKJ6WTU2JNS","10000002103014")</f>
        <v>0</v>
      </c>
      <c r="J28" s="79">
        <f>[1]!BexGetData("DP_1","99O1PC6958DN44NKJ6WU5OFM0","10000002103014")</f>
        <v>0</v>
      </c>
    </row>
    <row r="29" spans="1:10" x14ac:dyDescent="0.2">
      <c r="A29" s="89" t="s">
        <v>103</v>
      </c>
      <c r="B29" s="78" t="s">
        <v>104</v>
      </c>
      <c r="C29" s="66" t="s">
        <v>105</v>
      </c>
      <c r="D29" s="73">
        <f>[1]!BexGetData("DP_1","99O1PC6958DN44NJJNLMAOO3Y","10000002103017")</f>
        <v>-215273.99</v>
      </c>
      <c r="E29" s="73">
        <f>[1]!BexGetData("DP_1","99O1PC6958DN44NJJNLMKVMZ2","10000002103017")</f>
        <v>26140484.890000001</v>
      </c>
      <c r="F29" s="73">
        <f>[1]!BexGetData("DP_1","99O1PC6958DN44NJJNLMV2LU6","10000002103017")</f>
        <v>25925210.899999999</v>
      </c>
      <c r="G29" s="73">
        <f>[1]!BexGetData("DP_1","99O1PC6958DN44NJJNLN54B2M","10000002103017")</f>
        <v>-215273.99</v>
      </c>
      <c r="H29" s="74">
        <f>[1]!BexGetData("DP_1","99O1PC6958DN44NJJNLNF60B2","10000002103017")</f>
        <v>0</v>
      </c>
      <c r="I29" s="77">
        <f>[1]!BexGetData("DP_1","99O1PC6958DN44NKJ6WTU2JNS","10000002103017")</f>
        <v>-1</v>
      </c>
      <c r="J29" s="79">
        <f>[1]!BexGetData("DP_1","99O1PC6958DN44NKJ6WU5OFM0","10000002103017")</f>
        <v>0</v>
      </c>
    </row>
    <row r="30" spans="1:10" x14ac:dyDescent="0.2">
      <c r="A30" s="89" t="s">
        <v>106</v>
      </c>
      <c r="B30" s="78" t="s">
        <v>107</v>
      </c>
      <c r="C30" s="66" t="s">
        <v>108</v>
      </c>
      <c r="D30" s="79">
        <f>[1]!BexGetData("DP_1","99O1PC6958DN44NJJNLMAOO3Y","10000002103019")</f>
        <v>0</v>
      </c>
      <c r="E30" s="79">
        <f>[1]!BexGetData("DP_1","99O1PC6958DN44NJJNLMKVMZ2","10000002103019")</f>
        <v>0</v>
      </c>
      <c r="F30" s="79">
        <f>[1]!BexGetData("DP_1","99O1PC6958DN44NJJNLMV2LU6","10000002103019")</f>
        <v>0</v>
      </c>
      <c r="G30" s="79">
        <f>[1]!BexGetData("DP_1","99O1PC6958DN44NJJNLN54B2M","10000002103019")</f>
        <v>0</v>
      </c>
      <c r="H30" s="74">
        <f>[1]!BexGetData("DP_1","99O1PC6958DN44NJJNLNF60B2","10000002103019")</f>
        <v>0</v>
      </c>
      <c r="I30" s="81">
        <f>[1]!BexGetData("DP_1","99O1PC6958DN44NKJ6WTU2JNS","10000002103019")</f>
        <v>0</v>
      </c>
      <c r="J30" s="79">
        <f>[1]!BexGetData("DP_1","99O1PC6958DN44NKJ6WU5OFM0","10000002103019")</f>
        <v>0</v>
      </c>
    </row>
    <row r="31" spans="1:10" x14ac:dyDescent="0.2">
      <c r="A31" s="89" t="s">
        <v>109</v>
      </c>
      <c r="B31" s="78" t="s">
        <v>110</v>
      </c>
      <c r="C31" s="66" t="s">
        <v>111</v>
      </c>
      <c r="D31" s="73">
        <f>[1]!BexGetData("DP_1","99O1PC6958DN44NJJNLMAOO3Y","10000002104001")</f>
        <v>1472160.88</v>
      </c>
      <c r="E31" s="73">
        <f>[1]!BexGetData("DP_1","99O1PC6958DN44NJJNLMKVMZ2","10000002104001")</f>
        <v>734393629.63999999</v>
      </c>
      <c r="F31" s="73">
        <f>[1]!BexGetData("DP_1","99O1PC6958DN44NJJNLMV2LU6","10000002104001")</f>
        <v>735865790.51999998</v>
      </c>
      <c r="G31" s="73">
        <f>[1]!BexGetData("DP_1","99O1PC6958DN44NJJNLN54B2M","10000002104001")</f>
        <v>1472160.88</v>
      </c>
      <c r="H31" s="74">
        <f>[1]!BexGetData("DP_1","99O1PC6958DN44NJJNLNF60B2","10000002104001")</f>
        <v>0</v>
      </c>
      <c r="I31" s="77">
        <f>[1]!BexGetData("DP_1","99O1PC6958DN44NKJ6WTU2JNS","10000002104001")</f>
        <v>1</v>
      </c>
      <c r="J31" s="79">
        <f>[1]!BexGetData("DP_1","99O1PC6958DN44NKJ6WU5OFM0","10000002104001")</f>
        <v>0</v>
      </c>
    </row>
    <row r="32" spans="1:10" x14ac:dyDescent="0.2">
      <c r="A32" s="89" t="s">
        <v>112</v>
      </c>
      <c r="B32" s="78" t="s">
        <v>113</v>
      </c>
      <c r="C32" s="66" t="s">
        <v>114</v>
      </c>
      <c r="D32" s="73">
        <f>[1]!BexGetData("DP_1","99O1PC6958DN44NJJNLMAOO3Y","10000002104004")</f>
        <v>-3111845.39</v>
      </c>
      <c r="E32" s="73">
        <f>[1]!BexGetData("DP_1","99O1PC6958DN44NJJNLMKVMZ2","10000002104004")</f>
        <v>74336613.090000004</v>
      </c>
      <c r="F32" s="73">
        <f>[1]!BexGetData("DP_1","99O1PC6958DN44NJJNLMV2LU6","10000002104004")</f>
        <v>75483406.519999996</v>
      </c>
      <c r="G32" s="73">
        <f>[1]!BexGetData("DP_1","99O1PC6958DN44NJJNLN54B2M","10000002104004")</f>
        <v>1146793.43</v>
      </c>
      <c r="H32" s="74">
        <f>[1]!BexGetData("DP_1","99O1PC6958DN44NJJNLNF60B2","10000002104004")</f>
        <v>0</v>
      </c>
      <c r="I32" s="77">
        <f>[1]!BexGetData("DP_1","99O1PC6958DN44NKJ6WTU2JNS","10000002104004")</f>
        <v>0.36852519527006</v>
      </c>
      <c r="J32" s="73">
        <f>[1]!BexGetData("DP_1","99O1PC6958DN44NKJ6WU5OFM0","10000002104004")</f>
        <v>-4258638.82</v>
      </c>
    </row>
    <row r="33" spans="1:10" x14ac:dyDescent="0.2">
      <c r="A33" s="89" t="s">
        <v>115</v>
      </c>
      <c r="B33" s="78" t="s">
        <v>116</v>
      </c>
      <c r="C33" s="66" t="s">
        <v>117</v>
      </c>
      <c r="D33" s="79">
        <f>[1]!BexGetData("DP_1","99O1PC6958DN44NJJNLMAOO3Y","10000002105001")</f>
        <v>0</v>
      </c>
      <c r="E33" s="79">
        <f>[1]!BexGetData("DP_1","99O1PC6958DN44NJJNLMKVMZ2","10000002105001")</f>
        <v>0</v>
      </c>
      <c r="F33" s="79">
        <f>[1]!BexGetData("DP_1","99O1PC6958DN44NJJNLMV2LU6","10000002105001")</f>
        <v>0</v>
      </c>
      <c r="G33" s="79">
        <f>[1]!BexGetData("DP_1","99O1PC6958DN44NJJNLN54B2M","10000002105001")</f>
        <v>0</v>
      </c>
      <c r="H33" s="74">
        <f>[1]!BexGetData("DP_1","99O1PC6958DN44NJJNLNF60B2","10000002105001")</f>
        <v>0</v>
      </c>
      <c r="I33" s="81">
        <f>[1]!BexGetData("DP_1","99O1PC6958DN44NKJ6WTU2JNS","10000002105001")</f>
        <v>0</v>
      </c>
      <c r="J33" s="79">
        <f>[1]!BexGetData("DP_1","99O1PC6958DN44NKJ6WU5OFM0","10000002105001")</f>
        <v>0</v>
      </c>
    </row>
    <row r="34" spans="1:10" x14ac:dyDescent="0.2">
      <c r="A34" s="89" t="s">
        <v>118</v>
      </c>
      <c r="B34" s="78" t="s">
        <v>119</v>
      </c>
      <c r="C34" s="66" t="s">
        <v>120</v>
      </c>
      <c r="D34" s="79">
        <f>[1]!BexGetData("DP_1","99O1PC6958DN44NJJNLMAOO3Y","10000002105002")</f>
        <v>0</v>
      </c>
      <c r="E34" s="73">
        <f>[1]!BexGetData("DP_1","99O1PC6958DN44NJJNLMKVMZ2","10000002105002")</f>
        <v>23014.1</v>
      </c>
      <c r="F34" s="73">
        <f>[1]!BexGetData("DP_1","99O1PC6958DN44NJJNLMV2LU6","10000002105002")</f>
        <v>23014.1</v>
      </c>
      <c r="G34" s="79">
        <f>[1]!BexGetData("DP_1","99O1PC6958DN44NJJNLN54B2M","10000002105002")</f>
        <v>0</v>
      </c>
      <c r="H34" s="74">
        <f>[1]!BexGetData("DP_1","99O1PC6958DN44NJJNLNF60B2","10000002105002")</f>
        <v>0</v>
      </c>
      <c r="I34" s="81">
        <f>[1]!BexGetData("DP_1","99O1PC6958DN44NKJ6WTU2JNS","10000002105002")</f>
        <v>0</v>
      </c>
      <c r="J34" s="79">
        <f>[1]!BexGetData("DP_1","99O1PC6958DN44NKJ6WU5OFM0","10000002105002")</f>
        <v>0</v>
      </c>
    </row>
    <row r="35" spans="1:10" x14ac:dyDescent="0.2">
      <c r="A35" s="89" t="s">
        <v>121</v>
      </c>
      <c r="B35" s="78" t="s">
        <v>122</v>
      </c>
      <c r="C35" s="66" t="s">
        <v>123</v>
      </c>
      <c r="D35" s="79">
        <f>[1]!BexGetData("DP_1","99O1PC6958DN44NJJNLMAOO3Y","10000002105003")</f>
        <v>0</v>
      </c>
      <c r="E35" s="73">
        <f>[1]!BexGetData("DP_1","99O1PC6958DN44NJJNLMKVMZ2","10000002105003")</f>
        <v>18798.080000000002</v>
      </c>
      <c r="F35" s="73">
        <f>[1]!BexGetData("DP_1","99O1PC6958DN44NJJNLMV2LU6","10000002105003")</f>
        <v>18798.080000000002</v>
      </c>
      <c r="G35" s="79">
        <f>[1]!BexGetData("DP_1","99O1PC6958DN44NJJNLN54B2M","10000002105003")</f>
        <v>0</v>
      </c>
      <c r="H35" s="74">
        <f>[1]!BexGetData("DP_1","99O1PC6958DN44NJJNLNF60B2","10000002105003")</f>
        <v>0</v>
      </c>
      <c r="I35" s="81">
        <f>[1]!BexGetData("DP_1","99O1PC6958DN44NKJ6WTU2JNS","10000002105003")</f>
        <v>0</v>
      </c>
      <c r="J35" s="79">
        <f>[1]!BexGetData("DP_1","99O1PC6958DN44NKJ6WU5OFM0","10000002105003")</f>
        <v>0</v>
      </c>
    </row>
    <row r="36" spans="1:10" x14ac:dyDescent="0.2">
      <c r="A36" s="89" t="s">
        <v>124</v>
      </c>
      <c r="B36" s="78" t="s">
        <v>125</v>
      </c>
      <c r="C36" s="66" t="s">
        <v>126</v>
      </c>
      <c r="D36" s="79">
        <f>[1]!BexGetData("DP_1","99O1PC6958DN44NJJNLMAOO3Y","10000002105004")</f>
        <v>0</v>
      </c>
      <c r="E36" s="73">
        <f>[1]!BexGetData("DP_1","99O1PC6958DN44NJJNLMKVMZ2","10000002105004")</f>
        <v>13285376.890000001</v>
      </c>
      <c r="F36" s="73">
        <f>[1]!BexGetData("DP_1","99O1PC6958DN44NJJNLMV2LU6","10000002105004")</f>
        <v>14711440.9</v>
      </c>
      <c r="G36" s="73">
        <f>[1]!BexGetData("DP_1","99O1PC6958DN44NJJNLN54B2M","10000002105004")</f>
        <v>1426064.01</v>
      </c>
      <c r="H36" s="74">
        <f>[1]!BexGetData("DP_1","99O1PC6958DN44NJJNLNF60B2","10000002105004")</f>
        <v>0</v>
      </c>
      <c r="I36" s="81">
        <f>[1]!BexGetData("DP_1","99O1PC6958DN44NKJ6WTU2JNS","10000002105004")</f>
        <v>0</v>
      </c>
      <c r="J36" s="73">
        <f>[1]!BexGetData("DP_1","99O1PC6958DN44NKJ6WU5OFM0","10000002105004")</f>
        <v>-1426064.01</v>
      </c>
    </row>
    <row r="37" spans="1:10" x14ac:dyDescent="0.2">
      <c r="A37" s="89" t="s">
        <v>127</v>
      </c>
      <c r="B37" s="78" t="s">
        <v>128</v>
      </c>
      <c r="C37" s="66" t="s">
        <v>129</v>
      </c>
      <c r="D37" s="79">
        <f>[1]!BexGetData("DP_1","99O1PC6958DN44NJJNLMAOO3Y","10000002105005")</f>
        <v>0</v>
      </c>
      <c r="E37" s="73">
        <f>[1]!BexGetData("DP_1","99O1PC6958DN44NJJNLMKVMZ2","10000002105005")</f>
        <v>96528144.290000007</v>
      </c>
      <c r="F37" s="73">
        <f>[1]!BexGetData("DP_1","99O1PC6958DN44NJJNLMV2LU6","10000002105005")</f>
        <v>108046816.94</v>
      </c>
      <c r="G37" s="73">
        <f>[1]!BexGetData("DP_1","99O1PC6958DN44NJJNLN54B2M","10000002105005")</f>
        <v>11518672.65</v>
      </c>
      <c r="H37" s="74">
        <f>[1]!BexGetData("DP_1","99O1PC6958DN44NJJNLNF60B2","10000002105005")</f>
        <v>0</v>
      </c>
      <c r="I37" s="81">
        <f>[1]!BexGetData("DP_1","99O1PC6958DN44NKJ6WTU2JNS","10000002105005")</f>
        <v>0</v>
      </c>
      <c r="J37" s="73">
        <f>[1]!BexGetData("DP_1","99O1PC6958DN44NKJ6WU5OFM0","10000002105005")</f>
        <v>-11518672.65</v>
      </c>
    </row>
    <row r="38" spans="1:10" x14ac:dyDescent="0.2">
      <c r="A38" s="89" t="s">
        <v>130</v>
      </c>
      <c r="B38" s="78" t="s">
        <v>131</v>
      </c>
      <c r="C38" s="66" t="s">
        <v>132</v>
      </c>
      <c r="D38" s="79">
        <f>[1]!BexGetData("DP_1","99O1PC6958DN44NJJNLMAOO3Y","10000002105006")</f>
        <v>0</v>
      </c>
      <c r="E38" s="73">
        <f>[1]!BexGetData("DP_1","99O1PC6958DN44NJJNLMKVMZ2","10000002105006")</f>
        <v>28120574</v>
      </c>
      <c r="F38" s="73">
        <f>[1]!BexGetData("DP_1","99O1PC6958DN44NJJNLMV2LU6","10000002105006")</f>
        <v>28120574</v>
      </c>
      <c r="G38" s="79">
        <f>[1]!BexGetData("DP_1","99O1PC6958DN44NJJNLN54B2M","10000002105006")</f>
        <v>0</v>
      </c>
      <c r="H38" s="74">
        <f>[1]!BexGetData("DP_1","99O1PC6958DN44NJJNLNF60B2","10000002105006")</f>
        <v>0</v>
      </c>
      <c r="I38" s="81">
        <f>[1]!BexGetData("DP_1","99O1PC6958DN44NKJ6WTU2JNS","10000002105006")</f>
        <v>0</v>
      </c>
      <c r="J38" s="79">
        <f>[1]!BexGetData("DP_1","99O1PC6958DN44NKJ6WU5OFM0","10000002105006")</f>
        <v>0</v>
      </c>
    </row>
    <row r="39" spans="1:10" x14ac:dyDescent="0.2">
      <c r="A39" s="89" t="s">
        <v>133</v>
      </c>
      <c r="B39" s="78" t="s">
        <v>134</v>
      </c>
      <c r="C39" s="66" t="s">
        <v>135</v>
      </c>
      <c r="D39" s="79">
        <f>[1]!BexGetData("DP_1","99O1PC6958DN44NJJNLMAOO3Y","10000002105007")</f>
        <v>0</v>
      </c>
      <c r="E39" s="73">
        <f>[1]!BexGetData("DP_1","99O1PC6958DN44NJJNLMKVMZ2","10000002105007")</f>
        <v>17453346.309999999</v>
      </c>
      <c r="F39" s="73">
        <f>[1]!BexGetData("DP_1","99O1PC6958DN44NJJNLMV2LU6","10000002105007")</f>
        <v>19506312.629999999</v>
      </c>
      <c r="G39" s="73">
        <f>[1]!BexGetData("DP_1","99O1PC6958DN44NJJNLN54B2M","10000002105007")</f>
        <v>2052966.32</v>
      </c>
      <c r="H39" s="74">
        <f>[1]!BexGetData("DP_1","99O1PC6958DN44NJJNLNF60B2","10000002105007")</f>
        <v>0</v>
      </c>
      <c r="I39" s="81">
        <f>[1]!BexGetData("DP_1","99O1PC6958DN44NKJ6WTU2JNS","10000002105007")</f>
        <v>0</v>
      </c>
      <c r="J39" s="73">
        <f>[1]!BexGetData("DP_1","99O1PC6958DN44NKJ6WU5OFM0","10000002105007")</f>
        <v>-2052966.32</v>
      </c>
    </row>
    <row r="40" spans="1:10" x14ac:dyDescent="0.2">
      <c r="A40" s="89" t="s">
        <v>136</v>
      </c>
      <c r="B40" s="78" t="s">
        <v>137</v>
      </c>
      <c r="C40" s="66" t="s">
        <v>138</v>
      </c>
      <c r="D40" s="73">
        <f>[1]!BexGetData("DP_1","99O1PC6958DN44NJJNLMAOO3Y","10000002106001")</f>
        <v>-640434240.52999997</v>
      </c>
      <c r="E40" s="73">
        <f>[1]!BexGetData("DP_1","99O1PC6958DN44NJJNLMKVMZ2","10000002106001")</f>
        <v>349264350.42000002</v>
      </c>
      <c r="F40" s="73">
        <f>[1]!BexGetData("DP_1","99O1PC6958DN44NJJNLMV2LU6","10000002106001")</f>
        <v>434147931.54000002</v>
      </c>
      <c r="G40" s="73">
        <f>[1]!BexGetData("DP_1","99O1PC6958DN44NJJNLN54B2M","10000002106001")</f>
        <v>84883581.120000005</v>
      </c>
      <c r="H40" s="74">
        <f>[1]!BexGetData("DP_1","99O1PC6958DN44NJJNLNF60B2","10000002106001")</f>
        <v>0</v>
      </c>
      <c r="I40" s="77">
        <f>[1]!BexGetData("DP_1","99O1PC6958DN44NKJ6WTU2JNS","10000002106001")</f>
        <v>0.13254066654798999</v>
      </c>
      <c r="J40" s="73">
        <f>[1]!BexGetData("DP_1","99O1PC6958DN44NKJ6WU5OFM0","10000002106001")</f>
        <v>-725317821.64999998</v>
      </c>
    </row>
    <row r="41" spans="1:10" x14ac:dyDescent="0.2">
      <c r="A41" s="89" t="s">
        <v>139</v>
      </c>
      <c r="B41" s="78" t="s">
        <v>140</v>
      </c>
      <c r="C41" s="66" t="s">
        <v>141</v>
      </c>
      <c r="D41" s="79">
        <f>[1]!BexGetData("DP_1","99O1PC6958DN44NJJNLMAOO3Y","10000002106003")</f>
        <v>0</v>
      </c>
      <c r="E41" s="73">
        <f>[1]!BexGetData("DP_1","99O1PC6958DN44NJJNLMKVMZ2","10000002106003")</f>
        <v>231591153.24000001</v>
      </c>
      <c r="F41" s="73">
        <f>[1]!BexGetData("DP_1","99O1PC6958DN44NJJNLMV2LU6","10000002106003")</f>
        <v>231591153.24000001</v>
      </c>
      <c r="G41" s="79">
        <f>[1]!BexGetData("DP_1","99O1PC6958DN44NJJNLN54B2M","10000002106003")</f>
        <v>0</v>
      </c>
      <c r="H41" s="74">
        <f>[1]!BexGetData("DP_1","99O1PC6958DN44NJJNLNF60B2","10000002106003")</f>
        <v>0</v>
      </c>
      <c r="I41" s="81">
        <f>[1]!BexGetData("DP_1","99O1PC6958DN44NKJ6WTU2JNS","10000002106003")</f>
        <v>0</v>
      </c>
      <c r="J41" s="79">
        <f>[1]!BexGetData("DP_1","99O1PC6958DN44NKJ6WU5OFM0","10000002106003")</f>
        <v>0</v>
      </c>
    </row>
    <row r="42" spans="1:10" x14ac:dyDescent="0.2">
      <c r="A42" s="88" t="s">
        <v>142</v>
      </c>
      <c r="B42" s="78" t="s">
        <v>143</v>
      </c>
      <c r="C42" s="66" t="s">
        <v>28</v>
      </c>
      <c r="D42" s="73">
        <f>[1]!BexGetData("DP_1","99O1PC6958DN44NJJNLMAOO3Y","CSDDA313")</f>
        <v>-163114383.25</v>
      </c>
      <c r="E42" s="73">
        <f>[1]!BexGetData("DP_1","99O1PC6958DN44NJJNLMKVMZ2","CSDDA313")</f>
        <v>328563171.42000002</v>
      </c>
      <c r="F42" s="73">
        <f>[1]!BexGetData("DP_1","99O1PC6958DN44NJJNLMV2LU6","CSDDA313")</f>
        <v>364809843.52999997</v>
      </c>
      <c r="G42" s="73">
        <f>[1]!BexGetData("DP_1","99O1PC6958DN44NJJNLN54B2M","CSDDA313")</f>
        <v>36246672.109999999</v>
      </c>
      <c r="H42" s="74">
        <f>[1]!BexGetData("DP_1","99O1PC6958DN44NJJNLNF60B2","CSDDA313")</f>
        <v>0</v>
      </c>
      <c r="I42" s="77">
        <f>[1]!BexGetData("DP_1","99O1PC6958DN44NKJ6WTU2JNS","CSDDA313")</f>
        <v>0.22221628398304</v>
      </c>
      <c r="J42" s="73">
        <f>[1]!BexGetData("DP_1","99O1PC6958DN44NKJ6WU5OFM0","CSDDA313")</f>
        <v>-199361055.36000001</v>
      </c>
    </row>
    <row r="43" spans="1:10" x14ac:dyDescent="0.2">
      <c r="A43" s="89" t="s">
        <v>144</v>
      </c>
      <c r="B43" s="78" t="s">
        <v>145</v>
      </c>
      <c r="C43" s="66" t="s">
        <v>146</v>
      </c>
      <c r="D43" s="73">
        <f>[1]!BexGetData("DP_1","99O1PC6958DN44NJJNLMAOO3Y","10000002108001")</f>
        <v>-27569312.43</v>
      </c>
      <c r="E43" s="73">
        <f>[1]!BexGetData("DP_1","99O1PC6958DN44NJJNLMKVMZ2","10000002108001")</f>
        <v>48604865.990000002</v>
      </c>
      <c r="F43" s="73">
        <f>[1]!BexGetData("DP_1","99O1PC6958DN44NJJNLMV2LU6","10000002108001")</f>
        <v>61984524.939999998</v>
      </c>
      <c r="G43" s="73">
        <f>[1]!BexGetData("DP_1","99O1PC6958DN44NJJNLN54B2M","10000002108001")</f>
        <v>13379658.949999999</v>
      </c>
      <c r="H43" s="74">
        <f>[1]!BexGetData("DP_1","99O1PC6958DN44NJJNLNF60B2","10000002108001")</f>
        <v>0</v>
      </c>
      <c r="I43" s="77">
        <f>[1]!BexGetData("DP_1","99O1PC6958DN44NKJ6WTU2JNS","10000002108001")</f>
        <v>0.48530985253881997</v>
      </c>
      <c r="J43" s="73">
        <f>[1]!BexGetData("DP_1","99O1PC6958DN44NKJ6WU5OFM0","10000002108001")</f>
        <v>-40948971.380000003</v>
      </c>
    </row>
    <row r="44" spans="1:10" x14ac:dyDescent="0.2">
      <c r="A44" s="89" t="s">
        <v>147</v>
      </c>
      <c r="B44" s="78" t="s">
        <v>148</v>
      </c>
      <c r="C44" s="66" t="s">
        <v>149</v>
      </c>
      <c r="D44" s="73">
        <f>[1]!BexGetData("DP_1","99O1PC6958DN44NJJNLMAOO3Y","10000002108002")</f>
        <v>-135545070.81999999</v>
      </c>
      <c r="E44" s="73">
        <f>[1]!BexGetData("DP_1","99O1PC6958DN44NJJNLMKVMZ2","10000002108002")</f>
        <v>279958305.43000001</v>
      </c>
      <c r="F44" s="73">
        <f>[1]!BexGetData("DP_1","99O1PC6958DN44NJJNLMV2LU6","10000002108002")</f>
        <v>302825318.58999997</v>
      </c>
      <c r="G44" s="73">
        <f>[1]!BexGetData("DP_1","99O1PC6958DN44NJJNLN54B2M","10000002108002")</f>
        <v>22867013.16</v>
      </c>
      <c r="H44" s="74">
        <f>[1]!BexGetData("DP_1","99O1PC6958DN44NJJNLNF60B2","10000002108002")</f>
        <v>0</v>
      </c>
      <c r="I44" s="77">
        <f>[1]!BexGetData("DP_1","99O1PC6958DN44NKJ6WTU2JNS","10000002108002")</f>
        <v>0.16870412934724999</v>
      </c>
      <c r="J44" s="73">
        <f>[1]!BexGetData("DP_1","99O1PC6958DN44NKJ6WU5OFM0","10000002108002")</f>
        <v>-158412083.97999999</v>
      </c>
    </row>
    <row r="45" spans="1:10" x14ac:dyDescent="0.2">
      <c r="A45" s="88" t="s">
        <v>150</v>
      </c>
      <c r="B45" s="78" t="s">
        <v>151</v>
      </c>
      <c r="C45" s="66" t="s">
        <v>28</v>
      </c>
      <c r="D45" s="73">
        <f>[1]!BexGetData("DP_1","99O1PC6958DN44NJJNLMAOO3Y","CSDDA315")</f>
        <v>-17878127.109999999</v>
      </c>
      <c r="E45" s="73">
        <f>[1]!BexGetData("DP_1","99O1PC6958DN44NJJNLMKVMZ2","CSDDA315")</f>
        <v>1084125559.21</v>
      </c>
      <c r="F45" s="73">
        <f>[1]!BexGetData("DP_1","99O1PC6958DN44NJJNLMV2LU6","CSDDA315")</f>
        <v>1162296502.8800001</v>
      </c>
      <c r="G45" s="73">
        <f>[1]!BexGetData("DP_1","99O1PC6958DN44NJJNLN54B2M","CSDDA315")</f>
        <v>78170943.670000002</v>
      </c>
      <c r="H45" s="74">
        <f>[1]!BexGetData("DP_1","99O1PC6958DN44NJJNLNF60B2","CSDDA315")</f>
        <v>0</v>
      </c>
      <c r="I45" s="77">
        <f>[1]!BexGetData("DP_1","99O1PC6958DN44NKJ6WTU2JNS","CSDDA315")</f>
        <v>4.3724347180793703</v>
      </c>
      <c r="J45" s="73">
        <f>[1]!BexGetData("DP_1","99O1PC6958DN44NKJ6WU5OFM0","CSDDA315")</f>
        <v>-96049070.780000001</v>
      </c>
    </row>
    <row r="46" spans="1:10" x14ac:dyDescent="0.2">
      <c r="A46" s="89" t="s">
        <v>152</v>
      </c>
      <c r="B46" s="78" t="s">
        <v>153</v>
      </c>
      <c r="C46" s="66" t="s">
        <v>154</v>
      </c>
      <c r="D46" s="79">
        <f>[1]!BexGetData("DP_1","99O1PC6958DN44NJJNLMAOO3Y","10000002103003")</f>
        <v>0</v>
      </c>
      <c r="E46" s="73">
        <f>[1]!BexGetData("DP_1","99O1PC6958DN44NJJNLMKVMZ2","10000002103003")</f>
        <v>733491.18</v>
      </c>
      <c r="F46" s="73">
        <f>[1]!BexGetData("DP_1","99O1PC6958DN44NJJNLMV2LU6","10000002103003")</f>
        <v>18596465.260000002</v>
      </c>
      <c r="G46" s="73">
        <f>[1]!BexGetData("DP_1","99O1PC6958DN44NJJNLN54B2M","10000002103003")</f>
        <v>17862974.079999998</v>
      </c>
      <c r="H46" s="74">
        <f>[1]!BexGetData("DP_1","99O1PC6958DN44NJJNLNF60B2","10000002103003")</f>
        <v>0</v>
      </c>
      <c r="I46" s="81">
        <f>[1]!BexGetData("DP_1","99O1PC6958DN44NKJ6WTU2JNS","10000002103003")</f>
        <v>0</v>
      </c>
      <c r="J46" s="73">
        <f>[1]!BexGetData("DP_1","99O1PC6958DN44NKJ6WU5OFM0","10000002103003")</f>
        <v>-17862974.079999998</v>
      </c>
    </row>
    <row r="47" spans="1:10" x14ac:dyDescent="0.2">
      <c r="A47" s="89" t="s">
        <v>155</v>
      </c>
      <c r="B47" s="78" t="s">
        <v>156</v>
      </c>
      <c r="C47" s="66" t="s">
        <v>157</v>
      </c>
      <c r="D47" s="79">
        <f>[1]!BexGetData("DP_1","99O1PC6958DN44NJJNLMAOO3Y","10000002103009")</f>
        <v>0</v>
      </c>
      <c r="E47" s="73">
        <f>[1]!BexGetData("DP_1","99O1PC6958DN44NJJNLMKVMZ2","10000002103009")</f>
        <v>7198898.3300000001</v>
      </c>
      <c r="F47" s="73">
        <f>[1]!BexGetData("DP_1","99O1PC6958DN44NJJNLMV2LU6","10000002103009")</f>
        <v>67428418.510000005</v>
      </c>
      <c r="G47" s="73">
        <f>[1]!BexGetData("DP_1","99O1PC6958DN44NJJNLN54B2M","10000002103009")</f>
        <v>60229520.18</v>
      </c>
      <c r="H47" s="74">
        <f>[1]!BexGetData("DP_1","99O1PC6958DN44NJJNLNF60B2","10000002103009")</f>
        <v>0</v>
      </c>
      <c r="I47" s="81">
        <f>[1]!BexGetData("DP_1","99O1PC6958DN44NKJ6WTU2JNS","10000002103009")</f>
        <v>0</v>
      </c>
      <c r="J47" s="73">
        <f>[1]!BexGetData("DP_1","99O1PC6958DN44NKJ6WU5OFM0","10000002103009")</f>
        <v>-60229520.18</v>
      </c>
    </row>
    <row r="48" spans="1:10" x14ac:dyDescent="0.2">
      <c r="A48" s="89" t="s">
        <v>158</v>
      </c>
      <c r="B48" s="78" t="s">
        <v>159</v>
      </c>
      <c r="C48" s="66" t="s">
        <v>160</v>
      </c>
      <c r="D48" s="73">
        <f>[1]!BexGetData("DP_1","99O1PC6958DN44NJJNLMAOO3Y","10000002103021")</f>
        <v>-488197</v>
      </c>
      <c r="E48" s="73">
        <f>[1]!BexGetData("DP_1","99O1PC6958DN44NJJNLMKVMZ2","10000002103021")</f>
        <v>748473786.59000003</v>
      </c>
      <c r="F48" s="73">
        <f>[1]!BexGetData("DP_1","99O1PC6958DN44NJJNLMV2LU6","10000002103021")</f>
        <v>747985589.59000003</v>
      </c>
      <c r="G48" s="73">
        <f>[1]!BexGetData("DP_1","99O1PC6958DN44NJJNLN54B2M","10000002103021")</f>
        <v>-488197</v>
      </c>
      <c r="H48" s="74">
        <f>[1]!BexGetData("DP_1","99O1PC6958DN44NJJNLNF60B2","10000002103021")</f>
        <v>0</v>
      </c>
      <c r="I48" s="77">
        <f>[1]!BexGetData("DP_1","99O1PC6958DN44NKJ6WTU2JNS","10000002103021")</f>
        <v>-1</v>
      </c>
      <c r="J48" s="79">
        <f>[1]!BexGetData("DP_1","99O1PC6958DN44NKJ6WU5OFM0","10000002103021")</f>
        <v>0</v>
      </c>
    </row>
    <row r="49" spans="1:10" x14ac:dyDescent="0.2">
      <c r="A49" s="89" t="s">
        <v>161</v>
      </c>
      <c r="B49" s="78" t="s">
        <v>162</v>
      </c>
      <c r="C49" s="66" t="s">
        <v>163</v>
      </c>
      <c r="D49" s="73">
        <f>[1]!BexGetData("DP_1","99O1PC6958DN44NJJNLMAOO3Y","10000002109001")</f>
        <v>-1566324.94</v>
      </c>
      <c r="E49" s="73">
        <f>[1]!BexGetData("DP_1","99O1PC6958DN44NJJNLMKVMZ2","10000002109001")</f>
        <v>22166049.399999999</v>
      </c>
      <c r="F49" s="73">
        <f>[1]!BexGetData("DP_1","99O1PC6958DN44NJJNLMV2LU6","10000002109001")</f>
        <v>22117293.43</v>
      </c>
      <c r="G49" s="73">
        <f>[1]!BexGetData("DP_1","99O1PC6958DN44NJJNLN54B2M","10000002109001")</f>
        <v>-48755.97</v>
      </c>
      <c r="H49" s="74">
        <f>[1]!BexGetData("DP_1","99O1PC6958DN44NJJNLNF60B2","10000002109001")</f>
        <v>0</v>
      </c>
      <c r="I49" s="77">
        <f>[1]!BexGetData("DP_1","99O1PC6958DN44NKJ6WTU2JNS","10000002109001")</f>
        <v>-3.1127621577679999E-2</v>
      </c>
      <c r="J49" s="73">
        <f>[1]!BexGetData("DP_1","99O1PC6958DN44NKJ6WU5OFM0","10000002109001")</f>
        <v>-1517568.97</v>
      </c>
    </row>
    <row r="50" spans="1:10" x14ac:dyDescent="0.2">
      <c r="A50" s="89" t="s">
        <v>164</v>
      </c>
      <c r="B50" s="78" t="s">
        <v>165</v>
      </c>
      <c r="C50" s="66" t="s">
        <v>166</v>
      </c>
      <c r="D50" s="73">
        <f>[1]!BexGetData("DP_1","99O1PC6958DN44NJJNLMAOO3Y","10000002109002")</f>
        <v>-1366108.37</v>
      </c>
      <c r="E50" s="73">
        <f>[1]!BexGetData("DP_1","99O1PC6958DN44NJJNLMKVMZ2","10000002109002")</f>
        <v>25779816.780000001</v>
      </c>
      <c r="F50" s="73">
        <f>[1]!BexGetData("DP_1","99O1PC6958DN44NJJNLMV2LU6","10000002109002")</f>
        <v>25813538.739999998</v>
      </c>
      <c r="G50" s="73">
        <f>[1]!BexGetData("DP_1","99O1PC6958DN44NJJNLN54B2M","10000002109002")</f>
        <v>33721.96</v>
      </c>
      <c r="H50" s="74">
        <f>[1]!BexGetData("DP_1","99O1PC6958DN44NJJNLNF60B2","10000002109002")</f>
        <v>0</v>
      </c>
      <c r="I50" s="77">
        <f>[1]!BexGetData("DP_1","99O1PC6958DN44NKJ6WTU2JNS","10000002109002")</f>
        <v>2.4684688814259999E-2</v>
      </c>
      <c r="J50" s="73">
        <f>[1]!BexGetData("DP_1","99O1PC6958DN44NKJ6WU5OFM0","10000002109002")</f>
        <v>-1399830.33</v>
      </c>
    </row>
    <row r="51" spans="1:10" x14ac:dyDescent="0.2">
      <c r="A51" s="89" t="s">
        <v>167</v>
      </c>
      <c r="B51" s="78" t="s">
        <v>168</v>
      </c>
      <c r="C51" s="66" t="s">
        <v>169</v>
      </c>
      <c r="D51" s="73">
        <f>[1]!BexGetData("DP_1","99O1PC6958DN44NJJNLMAOO3Y","10000002109003")</f>
        <v>-14427912.029999999</v>
      </c>
      <c r="E51" s="73">
        <f>[1]!BexGetData("DP_1","99O1PC6958DN44NJJNLMKVMZ2","10000002109003")</f>
        <v>277386410.5</v>
      </c>
      <c r="F51" s="73">
        <f>[1]!BexGetData("DP_1","99O1PC6958DN44NJJNLMV2LU6","10000002109003")</f>
        <v>277960370.33999997</v>
      </c>
      <c r="G51" s="73">
        <f>[1]!BexGetData("DP_1","99O1PC6958DN44NJJNLN54B2M","10000002109003")</f>
        <v>573959.84</v>
      </c>
      <c r="H51" s="74">
        <f>[1]!BexGetData("DP_1","99O1PC6958DN44NJJNLNF60B2","10000002109003")</f>
        <v>0</v>
      </c>
      <c r="I51" s="77">
        <f>[1]!BexGetData("DP_1","99O1PC6958DN44NKJ6WTU2JNS","10000002109003")</f>
        <v>3.978121288836E-2</v>
      </c>
      <c r="J51" s="73">
        <f>[1]!BexGetData("DP_1","99O1PC6958DN44NKJ6WU5OFM0","10000002109003")</f>
        <v>-15001871.869999999</v>
      </c>
    </row>
    <row r="52" spans="1:10" x14ac:dyDescent="0.2">
      <c r="A52" s="89" t="s">
        <v>170</v>
      </c>
      <c r="B52" s="78" t="s">
        <v>171</v>
      </c>
      <c r="C52" s="66" t="s">
        <v>172</v>
      </c>
      <c r="D52" s="73">
        <f>[1]!BexGetData("DP_1","99O1PC6958DN44NJJNLMAOO3Y","10000002109004")</f>
        <v>-22550.19</v>
      </c>
      <c r="E52" s="73">
        <f>[1]!BexGetData("DP_1","99O1PC6958DN44NJJNLMKVMZ2","10000002109004")</f>
        <v>232932.38</v>
      </c>
      <c r="F52" s="73">
        <f>[1]!BexGetData("DP_1","99O1PC6958DN44NJJNLMV2LU6","10000002109004")</f>
        <v>232324.17</v>
      </c>
      <c r="G52" s="73">
        <f>[1]!BexGetData("DP_1","99O1PC6958DN44NJJNLN54B2M","10000002109004")</f>
        <v>-608.21</v>
      </c>
      <c r="H52" s="74">
        <f>[1]!BexGetData("DP_1","99O1PC6958DN44NJJNLNF60B2","10000002109004")</f>
        <v>0</v>
      </c>
      <c r="I52" s="77">
        <f>[1]!BexGetData("DP_1","99O1PC6958DN44NKJ6WTU2JNS","10000002109004")</f>
        <v>-2.6971391371870001E-2</v>
      </c>
      <c r="J52" s="73">
        <f>[1]!BexGetData("DP_1","99O1PC6958DN44NKJ6WU5OFM0","10000002109004")</f>
        <v>-21941.98</v>
      </c>
    </row>
    <row r="53" spans="1:10" x14ac:dyDescent="0.2">
      <c r="A53" s="89" t="s">
        <v>173</v>
      </c>
      <c r="B53" s="78" t="s">
        <v>174</v>
      </c>
      <c r="C53" s="66" t="s">
        <v>175</v>
      </c>
      <c r="D53" s="73">
        <f>[1]!BexGetData("DP_1","99O1PC6958DN44NJJNLMAOO3Y","10000002109007")</f>
        <v>-5179.58</v>
      </c>
      <c r="E53" s="73">
        <f>[1]!BexGetData("DP_1","99O1PC6958DN44NJJNLMKVMZ2","10000002109007")</f>
        <v>62530.18</v>
      </c>
      <c r="F53" s="73">
        <f>[1]!BexGetData("DP_1","99O1PC6958DN44NJJNLMV2LU6","10000002109007")</f>
        <v>70963.97</v>
      </c>
      <c r="G53" s="73">
        <f>[1]!BexGetData("DP_1","99O1PC6958DN44NJJNLN54B2M","10000002109007")</f>
        <v>8433.7900000000009</v>
      </c>
      <c r="H53" s="74">
        <f>[1]!BexGetData("DP_1","99O1PC6958DN44NJJNLNF60B2","10000002109007")</f>
        <v>0</v>
      </c>
      <c r="I53" s="77">
        <f>[1]!BexGetData("DP_1","99O1PC6958DN44NKJ6WTU2JNS","10000002109007")</f>
        <v>1.6282768100888501</v>
      </c>
      <c r="J53" s="73">
        <f>[1]!BexGetData("DP_1","99O1PC6958DN44NKJ6WU5OFM0","10000002109007")</f>
        <v>-13613.37</v>
      </c>
    </row>
    <row r="54" spans="1:10" x14ac:dyDescent="0.2">
      <c r="A54" s="89" t="s">
        <v>176</v>
      </c>
      <c r="B54" s="78" t="s">
        <v>177</v>
      </c>
      <c r="C54" s="66" t="s">
        <v>178</v>
      </c>
      <c r="D54" s="73">
        <f>[1]!BexGetData("DP_1","99O1PC6958DN44NJJNLMAOO3Y","10000002109008")</f>
        <v>-1855</v>
      </c>
      <c r="E54" s="73">
        <f>[1]!BexGetData("DP_1","99O1PC6958DN44NJJNLMKVMZ2","10000002109008")</f>
        <v>16905</v>
      </c>
      <c r="F54" s="73">
        <f>[1]!BexGetData("DP_1","99O1PC6958DN44NJJNLMV2LU6","10000002109008")</f>
        <v>16800</v>
      </c>
      <c r="G54" s="73">
        <f>[1]!BexGetData("DP_1","99O1PC6958DN44NJJNLN54B2M","10000002109008")</f>
        <v>-105</v>
      </c>
      <c r="H54" s="74">
        <f>[1]!BexGetData("DP_1","99O1PC6958DN44NJJNLNF60B2","10000002109008")</f>
        <v>0</v>
      </c>
      <c r="I54" s="77">
        <f>[1]!BexGetData("DP_1","99O1PC6958DN44NKJ6WTU2JNS","10000002109008")</f>
        <v>-5.6603773584909998E-2</v>
      </c>
      <c r="J54" s="73">
        <f>[1]!BexGetData("DP_1","99O1PC6958DN44NKJ6WU5OFM0","10000002109008")</f>
        <v>-1750</v>
      </c>
    </row>
    <row r="55" spans="1:10" x14ac:dyDescent="0.2">
      <c r="A55" s="89" t="s">
        <v>179</v>
      </c>
      <c r="B55" s="78" t="s">
        <v>180</v>
      </c>
      <c r="C55" s="66" t="s">
        <v>181</v>
      </c>
      <c r="D55" s="79">
        <f>[1]!BexGetData("DP_1","99O1PC6958DN44NJJNLMAOO3Y","10000002109010")</f>
        <v>0</v>
      </c>
      <c r="E55" s="73">
        <f>[1]!BexGetData("DP_1","99O1PC6958DN44NJJNLMKVMZ2","10000002109010")</f>
        <v>2074738.87</v>
      </c>
      <c r="F55" s="73">
        <f>[1]!BexGetData("DP_1","99O1PC6958DN44NJJNLMV2LU6","10000002109010")</f>
        <v>2074738.87</v>
      </c>
      <c r="G55" s="79">
        <f>[1]!BexGetData("DP_1","99O1PC6958DN44NJJNLN54B2M","10000002109010")</f>
        <v>0</v>
      </c>
      <c r="H55" s="74">
        <f>[1]!BexGetData("DP_1","99O1PC6958DN44NJJNLNF60B2","10000002109010")</f>
        <v>0</v>
      </c>
      <c r="I55" s="81">
        <f>[1]!BexGetData("DP_1","99O1PC6958DN44NKJ6WTU2JNS","10000002109010")</f>
        <v>0</v>
      </c>
      <c r="J55" s="79">
        <f>[1]!BexGetData("DP_1","99O1PC6958DN44NKJ6WU5OFM0","10000002109010")</f>
        <v>0</v>
      </c>
    </row>
    <row r="56" spans="1:10" x14ac:dyDescent="0.2">
      <c r="A56" s="87" t="s">
        <v>182</v>
      </c>
      <c r="B56" s="78" t="s">
        <v>183</v>
      </c>
      <c r="C56" s="66" t="s">
        <v>28</v>
      </c>
      <c r="D56" s="73">
        <f>[1]!BexGetData("DP_1","99O1PC6958DN44NJJNLMAOO3Y","CSDDA32")</f>
        <v>-193443474.84</v>
      </c>
      <c r="E56" s="73">
        <f>[1]!BexGetData("DP_1","99O1PC6958DN44NJJNLMKVMZ2","CSDDA32")</f>
        <v>2378322.38</v>
      </c>
      <c r="F56" s="73">
        <f>[1]!BexGetData("DP_1","99O1PC6958DN44NJJNLMV2LU6","CSDDA32")</f>
        <v>500107.55</v>
      </c>
      <c r="G56" s="73">
        <f>[1]!BexGetData("DP_1","99O1PC6958DN44NJJNLN54B2M","CSDDA32")</f>
        <v>-1878214.83</v>
      </c>
      <c r="H56" s="74">
        <f>[1]!BexGetData("DP_1","99O1PC6958DN44NJJNLNF60B2","CSDDA32")</f>
        <v>0</v>
      </c>
      <c r="I56" s="77">
        <f>[1]!BexGetData("DP_1","99O1PC6958DN44NKJ6WTU2JNS","CSDDA32")</f>
        <v>-9.7093728881399999E-3</v>
      </c>
      <c r="J56" s="73">
        <f>[1]!BexGetData("DP_1","99O1PC6958DN44NKJ6WU5OFM0","CSDDA32")</f>
        <v>-191565260.00999999</v>
      </c>
    </row>
    <row r="57" spans="1:10" x14ac:dyDescent="0.2">
      <c r="A57" s="88" t="s">
        <v>184</v>
      </c>
      <c r="B57" s="78" t="s">
        <v>185</v>
      </c>
      <c r="C57" s="66" t="s">
        <v>28</v>
      </c>
      <c r="D57" s="73">
        <f>[1]!BexGetData("DP_1","99O1PC6958DN44NJJNLMAOO3Y","CSDDA325")</f>
        <v>-193443474.84</v>
      </c>
      <c r="E57" s="73">
        <f>[1]!BexGetData("DP_1","99O1PC6958DN44NJJNLMKVMZ2","CSDDA325")</f>
        <v>2378322.38</v>
      </c>
      <c r="F57" s="73">
        <f>[1]!BexGetData("DP_1","99O1PC6958DN44NJJNLMV2LU6","CSDDA325")</f>
        <v>500107.55</v>
      </c>
      <c r="G57" s="73">
        <f>[1]!BexGetData("DP_1","99O1PC6958DN44NJJNLN54B2M","CSDDA325")</f>
        <v>-1878214.83</v>
      </c>
      <c r="H57" s="74">
        <f>[1]!BexGetData("DP_1","99O1PC6958DN44NJJNLNF60B2","CSDDA325")</f>
        <v>0</v>
      </c>
      <c r="I57" s="77">
        <f>[1]!BexGetData("DP_1","99O1PC6958DN44NKJ6WTU2JNS","CSDDA325")</f>
        <v>-9.7093728881399999E-3</v>
      </c>
      <c r="J57" s="73">
        <f>[1]!BexGetData("DP_1","99O1PC6958DN44NKJ6WU5OFM0","CSDDA325")</f>
        <v>-191565260.00999999</v>
      </c>
    </row>
    <row r="58" spans="1:10" x14ac:dyDescent="0.2">
      <c r="A58" s="89" t="s">
        <v>186</v>
      </c>
      <c r="B58" s="78" t="s">
        <v>187</v>
      </c>
      <c r="C58" s="66" t="s">
        <v>188</v>
      </c>
      <c r="D58" s="73">
        <f>[1]!BexGetData("DP_1","99O1PC6958DN44NJJNLMAOO3Y","10000002103018")</f>
        <v>-193443474.84</v>
      </c>
      <c r="E58" s="73">
        <f>[1]!BexGetData("DP_1","99O1PC6958DN44NJJNLMKVMZ2","10000002103018")</f>
        <v>2378322.38</v>
      </c>
      <c r="F58" s="73">
        <f>[1]!BexGetData("DP_1","99O1PC6958DN44NJJNLMV2LU6","10000002103018")</f>
        <v>500107.55</v>
      </c>
      <c r="G58" s="73">
        <f>[1]!BexGetData("DP_1","99O1PC6958DN44NJJNLN54B2M","10000002103018")</f>
        <v>-1878214.83</v>
      </c>
      <c r="H58" s="74">
        <f>[1]!BexGetData("DP_1","99O1PC6958DN44NJJNLNF60B2","10000002103018")</f>
        <v>0</v>
      </c>
      <c r="I58" s="77">
        <f>[1]!BexGetData("DP_1","99O1PC6958DN44NKJ6WTU2JNS","10000002103018")</f>
        <v>-9.7093728881399999E-3</v>
      </c>
      <c r="J58" s="73">
        <f>[1]!BexGetData("DP_1","99O1PC6958DN44NKJ6WU5OFM0","10000002103018")</f>
        <v>-191565260.00999999</v>
      </c>
    </row>
    <row r="59" spans="1:10" x14ac:dyDescent="0.2">
      <c r="A59" s="90" t="s">
        <v>189</v>
      </c>
      <c r="B59" s="82" t="s">
        <v>28</v>
      </c>
      <c r="C59" s="66" t="s">
        <v>28</v>
      </c>
      <c r="D59" s="72">
        <f>[1]!BexGetData("DP_1","99O1PC6958DN44NJJNLMAOO3Y","REST_H")</f>
        <v>4712610622.5100002</v>
      </c>
      <c r="E59" s="73">
        <f>[1]!BexGetData("DP_1","99O1PC6958DN44NJJNLMKVMZ2","REST_H")</f>
        <v>214255677563.63</v>
      </c>
      <c r="F59" s="73">
        <f>[1]!BexGetData("DP_1","99O1PC6958DN44NJJNLMV2LU6","REST_H")</f>
        <v>214339495769.28</v>
      </c>
      <c r="G59" s="73">
        <f>[1]!BexGetData("DP_1","99O1PC6958DN44NJJNLN54B2M","REST_H")</f>
        <v>83818205.650000006</v>
      </c>
      <c r="H59" s="74">
        <f>[1]!BexGetData("DP_1","99O1PC6958DN44NJJNLNF60B2","REST_H")</f>
        <v>0</v>
      </c>
      <c r="I59" s="72">
        <f>[1]!BexGetData("DP_1","99O1PC6958DN44NKJ6WTU2JNS","REST_H")</f>
        <v>1.7785939124619999E-2</v>
      </c>
      <c r="J59" s="72">
        <f>[1]!BexGetData("DP_1","99O1PC6958DN44NKJ6WU5OFM0","REST_H")</f>
        <v>4628792416.8599997</v>
      </c>
    </row>
    <row r="503" spans="3:8" x14ac:dyDescent="0.2">
      <c r="C503" s="1"/>
      <c r="D503" s="1"/>
      <c r="E503" s="1"/>
      <c r="F503" s="1"/>
      <c r="G503" s="1"/>
      <c r="H503" s="1"/>
    </row>
    <row r="504" spans="3:8" x14ac:dyDescent="0.2">
      <c r="C504" s="1"/>
      <c r="D504" s="1"/>
      <c r="E504" s="1"/>
      <c r="F504" s="1"/>
      <c r="G504" s="1"/>
      <c r="H504" s="1"/>
    </row>
    <row r="505" spans="3:8" x14ac:dyDescent="0.2">
      <c r="C505" s="1"/>
      <c r="D505" s="1"/>
      <c r="E505" s="1"/>
      <c r="F505" s="1"/>
      <c r="G505" s="1"/>
      <c r="H505" s="1"/>
    </row>
    <row r="506" spans="3:8" x14ac:dyDescent="0.2">
      <c r="C506" s="1"/>
      <c r="D506" s="1"/>
      <c r="E506" s="1"/>
      <c r="F506" s="1"/>
      <c r="G506" s="1"/>
      <c r="H506" s="1"/>
    </row>
    <row r="507" spans="3:8" x14ac:dyDescent="0.2">
      <c r="C507" s="1"/>
      <c r="D507" s="1"/>
      <c r="E507" s="1"/>
      <c r="F507" s="1"/>
      <c r="G507" s="1"/>
      <c r="H507" s="1"/>
    </row>
    <row r="508" spans="3:8" x14ac:dyDescent="0.2">
      <c r="C508" s="1"/>
      <c r="D508" s="1"/>
      <c r="E508" s="1"/>
      <c r="F508" s="1"/>
      <c r="G508" s="1"/>
      <c r="H508" s="1"/>
    </row>
    <row r="509" spans="3:8" x14ac:dyDescent="0.2">
      <c r="C509" s="1"/>
      <c r="D509" s="1"/>
      <c r="E509" s="1"/>
      <c r="F509" s="1"/>
      <c r="G509" s="1"/>
      <c r="H509" s="1"/>
    </row>
    <row r="510" spans="3:8" x14ac:dyDescent="0.2">
      <c r="C510" s="1"/>
      <c r="D510" s="1"/>
      <c r="E510" s="1"/>
      <c r="F510" s="1"/>
      <c r="G510" s="1"/>
      <c r="H510" s="1"/>
    </row>
    <row r="511" spans="3:8" x14ac:dyDescent="0.2">
      <c r="C511" s="1"/>
      <c r="D511" s="1"/>
      <c r="E511" s="1"/>
      <c r="F511" s="1"/>
      <c r="G511" s="1"/>
      <c r="H511" s="1"/>
    </row>
    <row r="512" spans="3:8" x14ac:dyDescent="0.2">
      <c r="C512" s="1"/>
      <c r="D512" s="1"/>
      <c r="E512" s="1"/>
      <c r="F512" s="1"/>
      <c r="G512" s="1"/>
      <c r="H512" s="1"/>
    </row>
    <row r="513" spans="3:8" x14ac:dyDescent="0.2">
      <c r="C513" s="1"/>
      <c r="D513" s="1"/>
      <c r="E513" s="1"/>
      <c r="F513" s="1"/>
      <c r="G513" s="1"/>
      <c r="H513" s="1"/>
    </row>
    <row r="514" spans="3:8" x14ac:dyDescent="0.2">
      <c r="C514" s="1"/>
      <c r="D514" s="1"/>
      <c r="E514" s="1"/>
      <c r="F514" s="1"/>
      <c r="G514" s="1"/>
      <c r="H514" s="1"/>
    </row>
    <row r="515" spans="3:8" x14ac:dyDescent="0.2">
      <c r="C515" s="1"/>
      <c r="D515" s="1"/>
      <c r="E515" s="1"/>
      <c r="F515" s="1"/>
      <c r="G515" s="1"/>
      <c r="H515" s="1"/>
    </row>
    <row r="516" spans="3:8" x14ac:dyDescent="0.2">
      <c r="C516" s="1"/>
      <c r="D516" s="1"/>
      <c r="E516" s="1"/>
      <c r="F516" s="1"/>
      <c r="G516" s="1"/>
      <c r="H516" s="1"/>
    </row>
    <row r="517" spans="3:8" x14ac:dyDescent="0.2">
      <c r="C517" s="1"/>
      <c r="D517" s="1"/>
      <c r="E517" s="1"/>
      <c r="F517" s="1"/>
      <c r="G517" s="1"/>
      <c r="H517" s="1"/>
    </row>
    <row r="518" spans="3:8" x14ac:dyDescent="0.2">
      <c r="C518" s="1"/>
      <c r="D518" s="1"/>
      <c r="E518" s="1"/>
      <c r="F518" s="1"/>
      <c r="G518" s="1"/>
      <c r="H518" s="1"/>
    </row>
    <row r="519" spans="3:8" x14ac:dyDescent="0.2">
      <c r="C519" s="1"/>
      <c r="D519" s="1"/>
      <c r="E519" s="1"/>
      <c r="F519" s="1"/>
      <c r="G519" s="1"/>
      <c r="H519" s="1"/>
    </row>
    <row r="520" spans="3:8" x14ac:dyDescent="0.2">
      <c r="C520" s="1"/>
      <c r="D520" s="1"/>
      <c r="E520" s="1"/>
      <c r="F520" s="1"/>
      <c r="G520" s="1"/>
      <c r="H520" s="1"/>
    </row>
    <row r="521" spans="3:8" x14ac:dyDescent="0.2">
      <c r="C521" s="1"/>
      <c r="D521" s="1"/>
      <c r="E521" s="1"/>
      <c r="F521" s="1"/>
      <c r="G521" s="1"/>
      <c r="H521" s="1"/>
    </row>
    <row r="522" spans="3:8" x14ac:dyDescent="0.2">
      <c r="C522" s="1"/>
      <c r="D522" s="1"/>
      <c r="E522" s="1"/>
      <c r="F522" s="1"/>
      <c r="G522" s="1"/>
      <c r="H522" s="1"/>
    </row>
    <row r="523" spans="3:8" x14ac:dyDescent="0.2">
      <c r="C523" s="1"/>
      <c r="D523" s="1"/>
      <c r="E523" s="1"/>
      <c r="F523" s="1"/>
      <c r="G523" s="1"/>
      <c r="H523" s="1"/>
    </row>
    <row r="524" spans="3:8" x14ac:dyDescent="0.2">
      <c r="C524" s="1"/>
      <c r="D524" s="1"/>
      <c r="E524" s="1"/>
      <c r="F524" s="1"/>
      <c r="G524" s="1"/>
      <c r="H524" s="1"/>
    </row>
    <row r="525" spans="3:8" x14ac:dyDescent="0.2">
      <c r="C525" s="1"/>
      <c r="D525" s="1"/>
      <c r="E525" s="1"/>
      <c r="F525" s="1"/>
      <c r="G525" s="1"/>
      <c r="H525" s="1"/>
    </row>
    <row r="526" spans="3:8" x14ac:dyDescent="0.2">
      <c r="C526" s="1"/>
      <c r="D526" s="1"/>
      <c r="E526" s="1"/>
      <c r="F526" s="1"/>
      <c r="G526" s="1"/>
      <c r="H526" s="1"/>
    </row>
    <row r="527" spans="3:8" x14ac:dyDescent="0.2">
      <c r="C527" s="1"/>
      <c r="D527" s="1"/>
      <c r="E527" s="1"/>
      <c r="F527" s="1"/>
      <c r="G527" s="1"/>
      <c r="H527" s="1"/>
    </row>
    <row r="528" spans="3:8" x14ac:dyDescent="0.2">
      <c r="C528" s="1"/>
      <c r="D528" s="1"/>
      <c r="E528" s="1"/>
      <c r="F528" s="1"/>
      <c r="G528" s="1"/>
      <c r="H528" s="1"/>
    </row>
    <row r="529" spans="3:8" x14ac:dyDescent="0.2">
      <c r="C529" s="1"/>
      <c r="D529" s="1"/>
      <c r="E529" s="1"/>
      <c r="F529" s="1"/>
      <c r="G529" s="1"/>
      <c r="H529" s="1"/>
    </row>
    <row r="530" spans="3:8" x14ac:dyDescent="0.2">
      <c r="C530" s="1"/>
      <c r="D530" s="1"/>
      <c r="E530" s="1"/>
      <c r="F530" s="1"/>
      <c r="G530" s="1"/>
      <c r="H530" s="1"/>
    </row>
    <row r="531" spans="3:8" x14ac:dyDescent="0.2">
      <c r="C531" s="1"/>
      <c r="D531" s="1"/>
      <c r="E531" s="1"/>
      <c r="F531" s="1"/>
      <c r="G531" s="1"/>
      <c r="H531" s="1"/>
    </row>
    <row r="532" spans="3:8" x14ac:dyDescent="0.2">
      <c r="C532" s="1"/>
      <c r="D532" s="1"/>
      <c r="E532" s="1"/>
      <c r="F532" s="1"/>
      <c r="G532" s="1"/>
      <c r="H532" s="1"/>
    </row>
    <row r="533" spans="3:8" x14ac:dyDescent="0.2">
      <c r="C533" s="1"/>
      <c r="D533" s="1"/>
      <c r="E533" s="1"/>
      <c r="F533" s="1"/>
      <c r="G533" s="1"/>
      <c r="H533" s="1"/>
    </row>
    <row r="534" spans="3:8" x14ac:dyDescent="0.2">
      <c r="C534" s="1"/>
      <c r="D534" s="1"/>
      <c r="E534" s="1"/>
      <c r="F534" s="1"/>
      <c r="G534" s="1"/>
      <c r="H534" s="1"/>
    </row>
    <row r="535" spans="3:8" x14ac:dyDescent="0.2">
      <c r="C535" s="1"/>
      <c r="D535" s="1"/>
      <c r="E535" s="1"/>
      <c r="F535" s="1"/>
      <c r="G535" s="1"/>
      <c r="H535" s="1"/>
    </row>
    <row r="536" spans="3:8" x14ac:dyDescent="0.2">
      <c r="C536" s="1"/>
      <c r="D536" s="1"/>
      <c r="E536" s="1"/>
      <c r="F536" s="1"/>
      <c r="G536" s="1"/>
      <c r="H536" s="1"/>
    </row>
    <row r="537" spans="3:8" x14ac:dyDescent="0.2">
      <c r="C537" s="1"/>
      <c r="D537" s="1"/>
      <c r="E537" s="1"/>
      <c r="F537" s="1"/>
      <c r="G537" s="1"/>
      <c r="H537" s="1"/>
    </row>
    <row r="538" spans="3:8" x14ac:dyDescent="0.2">
      <c r="C538" s="1"/>
      <c r="D538" s="1"/>
      <c r="E538" s="1"/>
      <c r="F538" s="1"/>
      <c r="G538" s="1"/>
      <c r="H538" s="1"/>
    </row>
    <row r="539" spans="3:8" x14ac:dyDescent="0.2">
      <c r="C539" s="1"/>
      <c r="D539" s="1"/>
      <c r="E539" s="1"/>
      <c r="F539" s="1"/>
      <c r="G539" s="1"/>
      <c r="H539" s="1"/>
    </row>
    <row r="540" spans="3:8" x14ac:dyDescent="0.2">
      <c r="C540" s="1"/>
      <c r="D540" s="1"/>
      <c r="E540" s="1"/>
      <c r="F540" s="1"/>
      <c r="G540" s="1"/>
      <c r="H540" s="1"/>
    </row>
    <row r="541" spans="3:8" x14ac:dyDescent="0.2">
      <c r="C541" s="1"/>
      <c r="D541" s="1"/>
      <c r="E541" s="1"/>
      <c r="F541" s="1"/>
      <c r="G541" s="1"/>
      <c r="H541" s="1"/>
    </row>
    <row r="542" spans="3:8" x14ac:dyDescent="0.2">
      <c r="C542" s="1"/>
      <c r="D542" s="1"/>
      <c r="E542" s="1"/>
      <c r="F542" s="1"/>
      <c r="G542" s="1"/>
      <c r="H542" s="1"/>
    </row>
    <row r="543" spans="3:8" x14ac:dyDescent="0.2">
      <c r="C543" s="1"/>
      <c r="D543" s="1"/>
      <c r="E543" s="1"/>
      <c r="F543" s="1"/>
      <c r="G543" s="1"/>
      <c r="H543" s="1"/>
    </row>
    <row r="544" spans="3:8" x14ac:dyDescent="0.2">
      <c r="C544" s="1"/>
      <c r="D544" s="1"/>
      <c r="E544" s="1"/>
      <c r="F544" s="1"/>
      <c r="G544" s="1"/>
      <c r="H544" s="1"/>
    </row>
    <row r="545" spans="3:8" x14ac:dyDescent="0.2">
      <c r="C545" s="1"/>
      <c r="D545" s="1"/>
      <c r="E545" s="1"/>
      <c r="F545" s="1"/>
      <c r="G545" s="1"/>
      <c r="H545" s="1"/>
    </row>
    <row r="546" spans="3:8" x14ac:dyDescent="0.2">
      <c r="C546" s="1"/>
      <c r="D546" s="1"/>
      <c r="E546" s="1"/>
      <c r="F546" s="1"/>
      <c r="G546" s="1"/>
      <c r="H546" s="1"/>
    </row>
    <row r="547" spans="3:8" x14ac:dyDescent="0.2">
      <c r="C547" s="1"/>
      <c r="D547" s="1"/>
      <c r="E547" s="1"/>
      <c r="F547" s="1"/>
      <c r="G547" s="1"/>
      <c r="H547" s="1"/>
    </row>
    <row r="548" spans="3:8" x14ac:dyDescent="0.2">
      <c r="C548" s="1"/>
      <c r="D548" s="1"/>
      <c r="E548" s="1"/>
      <c r="F548" s="1"/>
      <c r="G548" s="1"/>
      <c r="H548" s="1"/>
    </row>
    <row r="549" spans="3:8" x14ac:dyDescent="0.2">
      <c r="C549" s="1"/>
      <c r="D549" s="1"/>
      <c r="E549" s="1"/>
      <c r="F549" s="1"/>
      <c r="G549" s="1"/>
      <c r="H549" s="1"/>
    </row>
    <row r="550" spans="3:8" x14ac:dyDescent="0.2">
      <c r="C550" s="1"/>
      <c r="D550" s="1"/>
      <c r="E550" s="1"/>
      <c r="F550" s="1"/>
      <c r="G550" s="1"/>
      <c r="H550" s="1"/>
    </row>
    <row r="551" spans="3:8" x14ac:dyDescent="0.2">
      <c r="C551" s="1"/>
      <c r="D551" s="1"/>
      <c r="E551" s="1"/>
      <c r="F551" s="1"/>
      <c r="G551" s="1"/>
      <c r="H551" s="1"/>
    </row>
    <row r="552" spans="3:8" x14ac:dyDescent="0.2">
      <c r="C552" s="1"/>
      <c r="D552" s="1"/>
      <c r="E552" s="1"/>
      <c r="F552" s="1"/>
      <c r="G552" s="1"/>
      <c r="H552" s="1"/>
    </row>
    <row r="553" spans="3:8" x14ac:dyDescent="0.2">
      <c r="C553" s="1"/>
      <c r="D553" s="1"/>
      <c r="E553" s="1"/>
      <c r="F553" s="1"/>
      <c r="G553" s="1"/>
      <c r="H553" s="1"/>
    </row>
    <row r="554" spans="3:8" x14ac:dyDescent="0.2">
      <c r="C554" s="1"/>
      <c r="D554" s="1"/>
      <c r="E554" s="1"/>
      <c r="F554" s="1"/>
      <c r="G554" s="1"/>
      <c r="H554" s="1"/>
    </row>
    <row r="555" spans="3:8" x14ac:dyDescent="0.2">
      <c r="C555" s="1"/>
      <c r="D555" s="1"/>
      <c r="E555" s="1"/>
      <c r="F555" s="1"/>
      <c r="G555" s="1"/>
      <c r="H555" s="1"/>
    </row>
    <row r="556" spans="3:8" x14ac:dyDescent="0.2">
      <c r="C556" s="1"/>
      <c r="D556" s="1"/>
      <c r="E556" s="1"/>
      <c r="F556" s="1"/>
      <c r="G556" s="1"/>
      <c r="H556" s="1"/>
    </row>
    <row r="557" spans="3:8" x14ac:dyDescent="0.2">
      <c r="C557" s="1"/>
      <c r="D557" s="1"/>
      <c r="E557" s="1"/>
      <c r="F557" s="1"/>
      <c r="G557" s="1"/>
      <c r="H557" s="1"/>
    </row>
    <row r="558" spans="3:8" x14ac:dyDescent="0.2">
      <c r="C558" s="1"/>
      <c r="D558" s="1"/>
      <c r="E558" s="1"/>
      <c r="F558" s="1"/>
      <c r="G558" s="1"/>
      <c r="H558" s="1"/>
    </row>
    <row r="559" spans="3:8" x14ac:dyDescent="0.2">
      <c r="C559" s="1"/>
      <c r="D559" s="1"/>
      <c r="E559" s="1"/>
      <c r="F559" s="1"/>
      <c r="G559" s="1"/>
      <c r="H559" s="1"/>
    </row>
    <row r="560" spans="3:8" x14ac:dyDescent="0.2">
      <c r="C560" s="1"/>
      <c r="D560" s="1"/>
      <c r="E560" s="1"/>
      <c r="F560" s="1"/>
      <c r="G560" s="1"/>
      <c r="H560" s="1"/>
    </row>
    <row r="561" spans="3:8" x14ac:dyDescent="0.2">
      <c r="C561" s="1"/>
      <c r="D561" s="1"/>
      <c r="E561" s="1"/>
      <c r="F561" s="1"/>
      <c r="G561" s="1"/>
      <c r="H561" s="1"/>
    </row>
    <row r="562" spans="3:8" x14ac:dyDescent="0.2">
      <c r="C562" s="1"/>
      <c r="D562" s="1"/>
      <c r="E562" s="1"/>
      <c r="F562" s="1"/>
      <c r="G562" s="1"/>
      <c r="H562" s="1"/>
    </row>
    <row r="563" spans="3:8" x14ac:dyDescent="0.2">
      <c r="C563" s="1"/>
      <c r="D563" s="1"/>
      <c r="E563" s="1"/>
      <c r="F563" s="1"/>
      <c r="G563" s="1"/>
      <c r="H563" s="1"/>
    </row>
    <row r="564" spans="3:8" x14ac:dyDescent="0.2">
      <c r="C564" s="1"/>
      <c r="D564" s="1"/>
      <c r="E564" s="1"/>
      <c r="F564" s="1"/>
      <c r="G564" s="1"/>
      <c r="H564" s="1"/>
    </row>
    <row r="565" spans="3:8" x14ac:dyDescent="0.2">
      <c r="C565" s="1"/>
      <c r="D565" s="1"/>
      <c r="E565" s="1"/>
      <c r="F565" s="1"/>
      <c r="G565" s="1"/>
      <c r="H565" s="1"/>
    </row>
    <row r="566" spans="3:8" x14ac:dyDescent="0.2">
      <c r="C566" s="1"/>
      <c r="D566" s="1"/>
      <c r="E566" s="1"/>
      <c r="F566" s="1"/>
      <c r="G566" s="1"/>
      <c r="H566" s="1"/>
    </row>
    <row r="567" spans="3:8" x14ac:dyDescent="0.2">
      <c r="C567" s="1"/>
      <c r="D567" s="1"/>
      <c r="E567" s="1"/>
      <c r="F567" s="1"/>
      <c r="G567" s="1"/>
      <c r="H567" s="1"/>
    </row>
    <row r="568" spans="3:8" x14ac:dyDescent="0.2">
      <c r="C568" s="1"/>
      <c r="D568" s="1"/>
      <c r="E568" s="1"/>
      <c r="F568" s="1"/>
      <c r="G568" s="1"/>
      <c r="H568" s="1"/>
    </row>
    <row r="569" spans="3:8" x14ac:dyDescent="0.2">
      <c r="C569" s="1"/>
      <c r="D569" s="1"/>
      <c r="E569" s="1"/>
      <c r="F569" s="1"/>
      <c r="G569" s="1"/>
      <c r="H569" s="1"/>
    </row>
    <row r="570" spans="3:8" x14ac:dyDescent="0.2">
      <c r="C570" s="1"/>
      <c r="D570" s="1"/>
      <c r="E570" s="1"/>
      <c r="F570" s="1"/>
      <c r="G570" s="1"/>
      <c r="H570" s="1"/>
    </row>
    <row r="571" spans="3:8" x14ac:dyDescent="0.2">
      <c r="C571" s="1"/>
      <c r="D571" s="1"/>
      <c r="E571" s="1"/>
      <c r="F571" s="1"/>
      <c r="G571" s="1"/>
      <c r="H571" s="1"/>
    </row>
    <row r="572" spans="3:8" x14ac:dyDescent="0.2">
      <c r="C572" s="1"/>
      <c r="D572" s="1"/>
      <c r="E572" s="1"/>
      <c r="F572" s="1"/>
      <c r="G572" s="1"/>
      <c r="H572" s="1"/>
    </row>
    <row r="573" spans="3:8" x14ac:dyDescent="0.2">
      <c r="C573" s="1"/>
      <c r="D573" s="1"/>
      <c r="E573" s="1"/>
      <c r="F573" s="1"/>
      <c r="G573" s="1"/>
      <c r="H573" s="1"/>
    </row>
    <row r="574" spans="3:8" x14ac:dyDescent="0.2">
      <c r="C574" s="1"/>
      <c r="D574" s="1"/>
      <c r="E574" s="1"/>
      <c r="F574" s="1"/>
      <c r="G574" s="1"/>
      <c r="H574" s="1"/>
    </row>
    <row r="575" spans="3:8" x14ac:dyDescent="0.2">
      <c r="C575" s="1"/>
      <c r="D575" s="1"/>
      <c r="E575" s="1"/>
      <c r="F575" s="1"/>
      <c r="G575" s="1"/>
      <c r="H575" s="1"/>
    </row>
    <row r="576" spans="3:8" x14ac:dyDescent="0.2">
      <c r="C576" s="1"/>
      <c r="D576" s="1"/>
      <c r="E576" s="1"/>
      <c r="F576" s="1"/>
      <c r="G576" s="1"/>
      <c r="H576" s="1"/>
    </row>
    <row r="577" spans="3:8" x14ac:dyDescent="0.2">
      <c r="C577" s="1"/>
      <c r="D577" s="1"/>
      <c r="E577" s="1"/>
      <c r="F577" s="1"/>
      <c r="G577" s="1"/>
      <c r="H577" s="1"/>
    </row>
    <row r="578" spans="3:8" x14ac:dyDescent="0.2">
      <c r="C578" s="1"/>
      <c r="D578" s="1"/>
      <c r="E578" s="1"/>
      <c r="F578" s="1"/>
      <c r="G578" s="1"/>
      <c r="H578" s="1"/>
    </row>
    <row r="579" spans="3:8" x14ac:dyDescent="0.2">
      <c r="C579" s="1"/>
      <c r="D579" s="1"/>
      <c r="E579" s="1"/>
      <c r="F579" s="1"/>
      <c r="G579" s="1"/>
      <c r="H579" s="1"/>
    </row>
    <row r="580" spans="3:8" x14ac:dyDescent="0.2">
      <c r="C580" s="1"/>
      <c r="D580" s="1"/>
      <c r="E580" s="1"/>
      <c r="F580" s="1"/>
      <c r="G580" s="1"/>
      <c r="H580" s="1"/>
    </row>
    <row r="581" spans="3:8" x14ac:dyDescent="0.2">
      <c r="C581" s="1"/>
      <c r="D581" s="1"/>
      <c r="E581" s="1"/>
      <c r="F581" s="1"/>
      <c r="G581" s="1"/>
      <c r="H581" s="1"/>
    </row>
    <row r="582" spans="3:8" x14ac:dyDescent="0.2">
      <c r="C582" s="1"/>
      <c r="D582" s="1"/>
      <c r="E582" s="1"/>
      <c r="F582" s="1"/>
      <c r="G582" s="1"/>
      <c r="H582" s="1"/>
    </row>
    <row r="583" spans="3:8" x14ac:dyDescent="0.2">
      <c r="C583" s="1"/>
      <c r="D583" s="1"/>
      <c r="E583" s="1"/>
      <c r="F583" s="1"/>
      <c r="G583" s="1"/>
      <c r="H583" s="1"/>
    </row>
    <row r="584" spans="3:8" x14ac:dyDescent="0.2">
      <c r="C584" s="1"/>
      <c r="D584" s="1"/>
      <c r="E584" s="1"/>
      <c r="F584" s="1"/>
      <c r="G584" s="1"/>
      <c r="H584" s="1"/>
    </row>
    <row r="585" spans="3:8" x14ac:dyDescent="0.2">
      <c r="C585" s="1"/>
      <c r="D585" s="1"/>
      <c r="E585" s="1"/>
      <c r="F585" s="1"/>
      <c r="G585" s="1"/>
      <c r="H585" s="1"/>
    </row>
    <row r="586" spans="3:8" x14ac:dyDescent="0.2">
      <c r="C586" s="1"/>
      <c r="D586" s="1"/>
      <c r="E586" s="1"/>
      <c r="F586" s="1"/>
      <c r="G586" s="1"/>
      <c r="H586" s="1"/>
    </row>
    <row r="587" spans="3:8" x14ac:dyDescent="0.2">
      <c r="C587" s="1"/>
      <c r="D587" s="1"/>
      <c r="E587" s="1"/>
      <c r="F587" s="1"/>
      <c r="G587" s="1"/>
      <c r="H587" s="1"/>
    </row>
    <row r="588" spans="3:8" x14ac:dyDescent="0.2">
      <c r="C588" s="1"/>
      <c r="D588" s="1"/>
      <c r="E588" s="1"/>
      <c r="F588" s="1"/>
      <c r="G588" s="1"/>
      <c r="H588" s="1"/>
    </row>
    <row r="589" spans="3:8" x14ac:dyDescent="0.2">
      <c r="C589" s="1"/>
      <c r="D589" s="1"/>
      <c r="E589" s="1"/>
      <c r="F589" s="1"/>
      <c r="G589" s="1"/>
      <c r="H589" s="1"/>
    </row>
    <row r="590" spans="3:8" x14ac:dyDescent="0.2">
      <c r="C590" s="1"/>
      <c r="D590" s="1"/>
      <c r="E590" s="1"/>
      <c r="F590" s="1"/>
      <c r="G590" s="1"/>
      <c r="H590" s="1"/>
    </row>
    <row r="591" spans="3:8" x14ac:dyDescent="0.2">
      <c r="C591" s="1"/>
      <c r="D591" s="1"/>
      <c r="E591" s="1"/>
      <c r="F591" s="1"/>
      <c r="G591" s="1"/>
      <c r="H591" s="1"/>
    </row>
    <row r="592" spans="3:8" x14ac:dyDescent="0.2">
      <c r="C592" s="1"/>
      <c r="D592" s="1"/>
      <c r="E592" s="1"/>
      <c r="F592" s="1"/>
      <c r="G592" s="1"/>
      <c r="H592" s="1"/>
    </row>
    <row r="593" spans="3:8" x14ac:dyDescent="0.2">
      <c r="C593" s="1"/>
      <c r="D593" s="1"/>
      <c r="E593" s="1"/>
      <c r="F593" s="1"/>
      <c r="G593" s="1"/>
      <c r="H593" s="1"/>
    </row>
    <row r="594" spans="3:8" x14ac:dyDescent="0.2">
      <c r="C594" s="1"/>
      <c r="D594" s="1"/>
      <c r="E594" s="1"/>
      <c r="F594" s="1"/>
      <c r="G594" s="1"/>
      <c r="H594" s="1"/>
    </row>
    <row r="595" spans="3:8" x14ac:dyDescent="0.2">
      <c r="C595" s="1"/>
      <c r="D595" s="1"/>
      <c r="E595" s="1"/>
      <c r="F595" s="1"/>
      <c r="G595" s="1"/>
      <c r="H595" s="1"/>
    </row>
    <row r="596" spans="3:8" x14ac:dyDescent="0.2">
      <c r="C596" s="1"/>
      <c r="D596" s="1"/>
      <c r="E596" s="1"/>
      <c r="F596" s="1"/>
      <c r="G596" s="1"/>
      <c r="H596" s="1"/>
    </row>
    <row r="597" spans="3:8" x14ac:dyDescent="0.2">
      <c r="C597" s="1"/>
      <c r="D597" s="1"/>
      <c r="E597" s="1"/>
      <c r="F597" s="1"/>
      <c r="G597" s="1"/>
      <c r="H597" s="1"/>
    </row>
    <row r="598" spans="3:8" x14ac:dyDescent="0.2">
      <c r="C598" s="1"/>
      <c r="D598" s="1"/>
      <c r="E598" s="1"/>
      <c r="F598" s="1"/>
      <c r="G598" s="1"/>
      <c r="H598" s="1"/>
    </row>
    <row r="599" spans="3:8" x14ac:dyDescent="0.2">
      <c r="C599" s="1"/>
      <c r="D599" s="1"/>
      <c r="E599" s="1"/>
      <c r="F599" s="1"/>
      <c r="G599" s="1"/>
      <c r="H599" s="1"/>
    </row>
    <row r="600" spans="3:8" x14ac:dyDescent="0.2">
      <c r="C600" s="1"/>
      <c r="D600" s="1"/>
      <c r="E600" s="1"/>
      <c r="F600" s="1"/>
      <c r="G600" s="1"/>
      <c r="H600" s="1"/>
    </row>
    <row r="601" spans="3:8" x14ac:dyDescent="0.2">
      <c r="C601" s="1"/>
      <c r="D601" s="1"/>
      <c r="E601" s="1"/>
      <c r="F601" s="1"/>
      <c r="G601" s="1"/>
      <c r="H601" s="1"/>
    </row>
    <row r="602" spans="3:8" x14ac:dyDescent="0.2">
      <c r="C602" s="1"/>
      <c r="D602" s="1"/>
      <c r="E602" s="1"/>
      <c r="F602" s="1"/>
      <c r="G602" s="1"/>
      <c r="H602" s="1"/>
    </row>
    <row r="603" spans="3:8" x14ac:dyDescent="0.2">
      <c r="C603" s="1"/>
      <c r="D603" s="1"/>
      <c r="E603" s="1"/>
      <c r="F603" s="1"/>
      <c r="G603" s="1"/>
      <c r="H603" s="1"/>
    </row>
    <row r="604" spans="3:8" x14ac:dyDescent="0.2">
      <c r="C604" s="1"/>
      <c r="D604" s="1"/>
      <c r="E604" s="1"/>
      <c r="F604" s="1"/>
      <c r="G604" s="1"/>
      <c r="H604" s="1"/>
    </row>
    <row r="605" spans="3:8" x14ac:dyDescent="0.2">
      <c r="C605" s="1"/>
      <c r="D605" s="1"/>
      <c r="E605" s="1"/>
      <c r="F605" s="1"/>
      <c r="G605" s="1"/>
      <c r="H605" s="1"/>
    </row>
    <row r="606" spans="3:8" x14ac:dyDescent="0.2">
      <c r="C606" s="1"/>
      <c r="D606" s="1"/>
      <c r="E606" s="1"/>
      <c r="F606" s="1"/>
      <c r="G606" s="1"/>
      <c r="H606" s="1"/>
    </row>
    <row r="607" spans="3:8" x14ac:dyDescent="0.2">
      <c r="C607" s="1"/>
      <c r="D607" s="1"/>
      <c r="E607" s="1"/>
      <c r="F607" s="1"/>
      <c r="G607" s="1"/>
      <c r="H607" s="1"/>
    </row>
    <row r="608" spans="3:8" x14ac:dyDescent="0.2">
      <c r="C608" s="1"/>
      <c r="D608" s="1"/>
      <c r="E608" s="1"/>
      <c r="F608" s="1"/>
      <c r="G608" s="1"/>
      <c r="H608" s="1"/>
    </row>
    <row r="609" spans="3:8" x14ac:dyDescent="0.2">
      <c r="C609" s="1"/>
      <c r="D609" s="1"/>
      <c r="E609" s="1"/>
      <c r="F609" s="1"/>
      <c r="G609" s="1"/>
      <c r="H609" s="1"/>
    </row>
    <row r="610" spans="3:8" x14ac:dyDescent="0.2">
      <c r="C610" s="1"/>
      <c r="D610" s="1"/>
      <c r="E610" s="1"/>
      <c r="F610" s="1"/>
      <c r="G610" s="1"/>
      <c r="H610" s="1"/>
    </row>
    <row r="611" spans="3:8" x14ac:dyDescent="0.2">
      <c r="C611" s="1"/>
      <c r="D611" s="1"/>
      <c r="E611" s="1"/>
      <c r="F611" s="1"/>
      <c r="G611" s="1"/>
      <c r="H611" s="1"/>
    </row>
    <row r="612" spans="3:8" x14ac:dyDescent="0.2">
      <c r="C612" s="1"/>
      <c r="D612" s="1"/>
      <c r="E612" s="1"/>
      <c r="F612" s="1"/>
      <c r="G612" s="1"/>
      <c r="H612" s="1"/>
    </row>
    <row r="613" spans="3:8" x14ac:dyDescent="0.2">
      <c r="C613" s="1"/>
      <c r="D613" s="1"/>
      <c r="E613" s="1"/>
      <c r="F613" s="1"/>
      <c r="G613" s="1"/>
      <c r="H613" s="1"/>
    </row>
    <row r="614" spans="3:8" x14ac:dyDescent="0.2">
      <c r="C614" s="1"/>
      <c r="D614" s="1"/>
      <c r="E614" s="1"/>
      <c r="F614" s="1"/>
      <c r="G614" s="1"/>
      <c r="H614" s="1"/>
    </row>
    <row r="615" spans="3:8" x14ac:dyDescent="0.2">
      <c r="C615" s="1"/>
      <c r="D615" s="1"/>
      <c r="E615" s="1"/>
      <c r="F615" s="1"/>
      <c r="G615" s="1"/>
      <c r="H615" s="1"/>
    </row>
    <row r="616" spans="3:8" x14ac:dyDescent="0.2">
      <c r="C616" s="1"/>
      <c r="D616" s="1"/>
      <c r="E616" s="1"/>
      <c r="F616" s="1"/>
      <c r="G616" s="1"/>
      <c r="H616" s="1"/>
    </row>
    <row r="617" spans="3:8" x14ac:dyDescent="0.2">
      <c r="C617" s="1"/>
      <c r="D617" s="1"/>
      <c r="E617" s="1"/>
      <c r="F617" s="1"/>
      <c r="G617" s="1"/>
      <c r="H617" s="1"/>
    </row>
    <row r="618" spans="3:8" x14ac:dyDescent="0.2">
      <c r="C618" s="1"/>
      <c r="D618" s="1"/>
      <c r="E618" s="1"/>
      <c r="F618" s="1"/>
      <c r="G618" s="1"/>
      <c r="H618" s="1"/>
    </row>
    <row r="619" spans="3:8" x14ac:dyDescent="0.2">
      <c r="C619" s="1"/>
      <c r="D619" s="1"/>
      <c r="E619" s="1"/>
      <c r="F619" s="1"/>
      <c r="G619" s="1"/>
      <c r="H619" s="1"/>
    </row>
    <row r="620" spans="3:8" x14ac:dyDescent="0.2">
      <c r="C620" s="1"/>
      <c r="D620" s="1"/>
      <c r="E620" s="1"/>
      <c r="F620" s="1"/>
      <c r="G620" s="1"/>
      <c r="H620" s="1"/>
    </row>
    <row r="621" spans="3:8" x14ac:dyDescent="0.2">
      <c r="C621" s="1"/>
      <c r="D621" s="1"/>
      <c r="E621" s="1"/>
      <c r="F621" s="1"/>
      <c r="G621" s="1"/>
      <c r="H621" s="1"/>
    </row>
    <row r="622" spans="3:8" x14ac:dyDescent="0.2">
      <c r="C622" s="1"/>
      <c r="D622" s="1"/>
      <c r="E622" s="1"/>
      <c r="F622" s="1"/>
      <c r="G622" s="1"/>
      <c r="H622" s="1"/>
    </row>
    <row r="623" spans="3:8" x14ac:dyDescent="0.2">
      <c r="C623" s="1"/>
      <c r="D623" s="1"/>
      <c r="E623" s="1"/>
      <c r="F623" s="1"/>
      <c r="G623" s="1"/>
      <c r="H623" s="1"/>
    </row>
    <row r="624" spans="3:8" x14ac:dyDescent="0.2">
      <c r="C624" s="1"/>
      <c r="D624" s="1"/>
      <c r="E624" s="1"/>
      <c r="F624" s="1"/>
      <c r="G624" s="1"/>
      <c r="H624" s="1"/>
    </row>
    <row r="625" spans="3:8" x14ac:dyDescent="0.2">
      <c r="C625" s="1"/>
      <c r="D625" s="1"/>
      <c r="E625" s="1"/>
      <c r="F625" s="1"/>
      <c r="G625" s="1"/>
      <c r="H625" s="1"/>
    </row>
    <row r="626" spans="3:8" x14ac:dyDescent="0.2">
      <c r="C626" s="1"/>
      <c r="D626" s="1"/>
      <c r="E626" s="1"/>
      <c r="F626" s="1"/>
      <c r="G626" s="1"/>
      <c r="H626" s="1"/>
    </row>
    <row r="627" spans="3:8" x14ac:dyDescent="0.2">
      <c r="C627" s="1"/>
      <c r="D627" s="1"/>
      <c r="E627" s="1"/>
      <c r="F627" s="1"/>
      <c r="G627" s="1"/>
      <c r="H627" s="1"/>
    </row>
    <row r="628" spans="3:8" x14ac:dyDescent="0.2">
      <c r="C628" s="1"/>
      <c r="D628" s="1"/>
      <c r="E628" s="1"/>
      <c r="F628" s="1"/>
      <c r="G628" s="1"/>
      <c r="H628" s="1"/>
    </row>
    <row r="629" spans="3:8" x14ac:dyDescent="0.2">
      <c r="C629" s="1"/>
      <c r="D629" s="1"/>
      <c r="E629" s="1"/>
      <c r="F629" s="1"/>
      <c r="G629" s="1"/>
      <c r="H629" s="1"/>
    </row>
    <row r="630" spans="3:8" x14ac:dyDescent="0.2">
      <c r="C630" s="1"/>
      <c r="D630" s="1"/>
      <c r="E630" s="1"/>
      <c r="F630" s="1"/>
      <c r="G630" s="1"/>
      <c r="H630" s="1"/>
    </row>
    <row r="631" spans="3:8" x14ac:dyDescent="0.2">
      <c r="C631" s="1"/>
      <c r="D631" s="1"/>
      <c r="E631" s="1"/>
      <c r="F631" s="1"/>
      <c r="G631" s="1"/>
      <c r="H631" s="1"/>
    </row>
    <row r="632" spans="3:8" x14ac:dyDescent="0.2">
      <c r="C632" s="1"/>
      <c r="D632" s="1"/>
      <c r="E632" s="1"/>
      <c r="F632" s="1"/>
      <c r="G632" s="1"/>
      <c r="H632" s="1"/>
    </row>
    <row r="633" spans="3:8" x14ac:dyDescent="0.2">
      <c r="C633" s="1"/>
      <c r="D633" s="1"/>
      <c r="E633" s="1"/>
      <c r="F633" s="1"/>
      <c r="G633" s="1"/>
      <c r="H633" s="1"/>
    </row>
    <row r="634" spans="3:8" x14ac:dyDescent="0.2">
      <c r="C634" s="1"/>
      <c r="D634" s="1"/>
      <c r="E634" s="1"/>
      <c r="F634" s="1"/>
      <c r="G634" s="1"/>
      <c r="H634" s="1"/>
    </row>
    <row r="635" spans="3:8" x14ac:dyDescent="0.2">
      <c r="C635" s="1"/>
      <c r="D635" s="1"/>
      <c r="E635" s="1"/>
      <c r="F635" s="1"/>
      <c r="G635" s="1"/>
      <c r="H635" s="1"/>
    </row>
    <row r="636" spans="3:8" x14ac:dyDescent="0.2">
      <c r="C636" s="1"/>
      <c r="D636" s="1"/>
      <c r="E636" s="1"/>
      <c r="F636" s="1"/>
      <c r="G636" s="1"/>
      <c r="H636" s="1"/>
    </row>
    <row r="637" spans="3:8" x14ac:dyDescent="0.2">
      <c r="C637" s="1"/>
      <c r="D637" s="1"/>
      <c r="E637" s="1"/>
      <c r="F637" s="1"/>
      <c r="G637" s="1"/>
      <c r="H637" s="1"/>
    </row>
    <row r="638" spans="3:8" x14ac:dyDescent="0.2">
      <c r="C638" s="1"/>
      <c r="D638" s="1"/>
      <c r="E638" s="1"/>
      <c r="F638" s="1"/>
      <c r="G638" s="1"/>
      <c r="H638" s="1"/>
    </row>
    <row r="639" spans="3:8" x14ac:dyDescent="0.2">
      <c r="C639" s="1"/>
      <c r="D639" s="1"/>
      <c r="E639" s="1"/>
      <c r="F639" s="1"/>
      <c r="G639" s="1"/>
      <c r="H639" s="1"/>
    </row>
    <row r="640" spans="3:8" x14ac:dyDescent="0.2">
      <c r="C640" s="1"/>
      <c r="D640" s="1"/>
      <c r="E640" s="1"/>
      <c r="F640" s="1"/>
      <c r="G640" s="1"/>
      <c r="H640" s="1"/>
    </row>
    <row r="641" spans="3:8" x14ac:dyDescent="0.2">
      <c r="C641" s="1"/>
      <c r="D641" s="1"/>
      <c r="E641" s="1"/>
      <c r="F641" s="1"/>
      <c r="G641" s="1"/>
      <c r="H641" s="1"/>
    </row>
    <row r="642" spans="3:8" x14ac:dyDescent="0.2">
      <c r="C642" s="1"/>
      <c r="D642" s="1"/>
      <c r="E642" s="1"/>
      <c r="F642" s="1"/>
      <c r="G642" s="1"/>
      <c r="H642" s="1"/>
    </row>
    <row r="643" spans="3:8" x14ac:dyDescent="0.2">
      <c r="C643" s="1"/>
      <c r="D643" s="1"/>
      <c r="E643" s="1"/>
      <c r="F643" s="1"/>
      <c r="G643" s="1"/>
      <c r="H643" s="1"/>
    </row>
    <row r="644" spans="3:8" x14ac:dyDescent="0.2">
      <c r="C644" s="1"/>
      <c r="D644" s="1"/>
      <c r="E644" s="1"/>
      <c r="F644" s="1"/>
      <c r="G644" s="1"/>
      <c r="H644" s="1"/>
    </row>
    <row r="645" spans="3:8" x14ac:dyDescent="0.2">
      <c r="C645" s="1"/>
      <c r="D645" s="1"/>
      <c r="E645" s="1"/>
      <c r="F645" s="1"/>
      <c r="G645" s="1"/>
      <c r="H645" s="1"/>
    </row>
    <row r="646" spans="3:8" x14ac:dyDescent="0.2">
      <c r="C646" s="1"/>
      <c r="D646" s="1"/>
      <c r="E646" s="1"/>
      <c r="F646" s="1"/>
      <c r="G646" s="1"/>
      <c r="H646" s="1"/>
    </row>
    <row r="647" spans="3:8" x14ac:dyDescent="0.2">
      <c r="C647" s="1"/>
      <c r="D647" s="1"/>
      <c r="E647" s="1"/>
      <c r="F647" s="1"/>
      <c r="G647" s="1"/>
      <c r="H647" s="1"/>
    </row>
    <row r="648" spans="3:8" x14ac:dyDescent="0.2">
      <c r="C648" s="1"/>
      <c r="D648" s="1"/>
      <c r="E648" s="1"/>
      <c r="F648" s="1"/>
      <c r="G648" s="1"/>
      <c r="H648" s="1"/>
    </row>
    <row r="649" spans="3:8" x14ac:dyDescent="0.2">
      <c r="C649" s="1"/>
      <c r="D649" s="1"/>
      <c r="E649" s="1"/>
      <c r="F649" s="1"/>
      <c r="G649" s="1"/>
      <c r="H649" s="1"/>
    </row>
    <row r="650" spans="3:8" x14ac:dyDescent="0.2">
      <c r="C650" s="1"/>
      <c r="D650" s="1"/>
      <c r="E650" s="1"/>
      <c r="F650" s="1"/>
      <c r="G650" s="1"/>
      <c r="H650" s="1"/>
    </row>
    <row r="651" spans="3:8" x14ac:dyDescent="0.2">
      <c r="C651" s="1"/>
      <c r="D651" s="1"/>
      <c r="E651" s="1"/>
      <c r="F651" s="1"/>
      <c r="G651" s="1"/>
      <c r="H651" s="1"/>
    </row>
    <row r="652" spans="3:8" x14ac:dyDescent="0.2">
      <c r="C652" s="1"/>
      <c r="D652" s="1"/>
      <c r="E652" s="1"/>
      <c r="F652" s="1"/>
      <c r="G652" s="1"/>
      <c r="H652" s="1"/>
    </row>
    <row r="653" spans="3:8" x14ac:dyDescent="0.2">
      <c r="C653" s="1"/>
      <c r="D653" s="1"/>
      <c r="E653" s="1"/>
      <c r="F653" s="1"/>
      <c r="G653" s="1"/>
      <c r="H653" s="1"/>
    </row>
    <row r="654" spans="3:8" x14ac:dyDescent="0.2">
      <c r="C654" s="1"/>
      <c r="D654" s="1"/>
      <c r="E654" s="1"/>
      <c r="F654" s="1"/>
      <c r="G654" s="1"/>
      <c r="H654" s="1"/>
    </row>
    <row r="655" spans="3:8" x14ac:dyDescent="0.2">
      <c r="C655" s="1"/>
      <c r="D655" s="1"/>
      <c r="E655" s="1"/>
      <c r="F655" s="1"/>
      <c r="G655" s="1"/>
      <c r="H655" s="1"/>
    </row>
    <row r="656" spans="3:8" x14ac:dyDescent="0.2">
      <c r="C656" s="1"/>
      <c r="D656" s="1"/>
      <c r="E656" s="1"/>
      <c r="F656" s="1"/>
      <c r="G656" s="1"/>
      <c r="H656" s="1"/>
    </row>
    <row r="657" spans="3:8" x14ac:dyDescent="0.2">
      <c r="C657" s="1"/>
      <c r="D657" s="1"/>
      <c r="E657" s="1"/>
      <c r="F657" s="1"/>
      <c r="G657" s="1"/>
      <c r="H657" s="1"/>
    </row>
    <row r="658" spans="3:8" x14ac:dyDescent="0.2">
      <c r="C658" s="1"/>
      <c r="D658" s="1"/>
      <c r="E658" s="1"/>
      <c r="F658" s="1"/>
      <c r="G658" s="1"/>
      <c r="H658" s="1"/>
    </row>
    <row r="659" spans="3:8" x14ac:dyDescent="0.2">
      <c r="C659" s="1"/>
      <c r="D659" s="1"/>
      <c r="E659" s="1"/>
      <c r="F659" s="1"/>
      <c r="G659" s="1"/>
      <c r="H659" s="1"/>
    </row>
    <row r="660" spans="3:8" x14ac:dyDescent="0.2">
      <c r="C660" s="1"/>
      <c r="D660" s="1"/>
      <c r="E660" s="1"/>
      <c r="F660" s="1"/>
      <c r="G660" s="1"/>
      <c r="H660" s="1"/>
    </row>
    <row r="661" spans="3:8" x14ac:dyDescent="0.2">
      <c r="C661" s="1"/>
      <c r="D661" s="1"/>
      <c r="E661" s="1"/>
      <c r="F661" s="1"/>
      <c r="G661" s="1"/>
      <c r="H661" s="1"/>
    </row>
    <row r="662" spans="3:8" x14ac:dyDescent="0.2">
      <c r="C662" s="1"/>
      <c r="D662" s="1"/>
      <c r="E662" s="1"/>
      <c r="F662" s="1"/>
      <c r="G662" s="1"/>
      <c r="H662" s="1"/>
    </row>
    <row r="663" spans="3:8" x14ac:dyDescent="0.2">
      <c r="C663" s="1"/>
      <c r="D663" s="1"/>
      <c r="E663" s="1"/>
      <c r="F663" s="1"/>
      <c r="G663" s="1"/>
      <c r="H663" s="1"/>
    </row>
    <row r="664" spans="3:8" x14ac:dyDescent="0.2">
      <c r="C664" s="1"/>
      <c r="D664" s="1"/>
      <c r="E664" s="1"/>
      <c r="F664" s="1"/>
      <c r="G664" s="1"/>
      <c r="H664" s="1"/>
    </row>
    <row r="665" spans="3:8" x14ac:dyDescent="0.2">
      <c r="C665" s="1"/>
      <c r="D665" s="1"/>
      <c r="E665" s="1"/>
      <c r="F665" s="1"/>
      <c r="G665" s="1"/>
      <c r="H665" s="1"/>
    </row>
    <row r="666" spans="3:8" x14ac:dyDescent="0.2">
      <c r="C666" s="1"/>
      <c r="D666" s="1"/>
      <c r="E666" s="1"/>
      <c r="F666" s="1"/>
      <c r="G666" s="1"/>
      <c r="H666" s="1"/>
    </row>
    <row r="667" spans="3:8" x14ac:dyDescent="0.2">
      <c r="C667" s="1"/>
      <c r="D667" s="1"/>
      <c r="E667" s="1"/>
      <c r="F667" s="1"/>
      <c r="G667" s="1"/>
      <c r="H667" s="1"/>
    </row>
    <row r="668" spans="3:8" x14ac:dyDescent="0.2">
      <c r="C668" s="1"/>
      <c r="D668" s="1"/>
      <c r="E668" s="1"/>
      <c r="F668" s="1"/>
      <c r="G668" s="1"/>
      <c r="H668" s="1"/>
    </row>
    <row r="669" spans="3:8" x14ac:dyDescent="0.2">
      <c r="C669" s="1"/>
      <c r="D669" s="1"/>
      <c r="E669" s="1"/>
      <c r="F669" s="1"/>
      <c r="G669" s="1"/>
      <c r="H669" s="1"/>
    </row>
    <row r="670" spans="3:8" x14ac:dyDescent="0.2">
      <c r="C670" s="1"/>
      <c r="D670" s="1"/>
      <c r="E670" s="1"/>
      <c r="F670" s="1"/>
      <c r="G670" s="1"/>
      <c r="H670" s="1"/>
    </row>
    <row r="671" spans="3:8" x14ac:dyDescent="0.2">
      <c r="C671" s="1"/>
      <c r="D671" s="1"/>
      <c r="E671" s="1"/>
      <c r="F671" s="1"/>
      <c r="G671" s="1"/>
      <c r="H671" s="1"/>
    </row>
    <row r="672" spans="3:8" x14ac:dyDescent="0.2">
      <c r="C672" s="1"/>
      <c r="D672" s="1"/>
      <c r="E672" s="1"/>
      <c r="F672" s="1"/>
      <c r="G672" s="1"/>
      <c r="H672" s="1"/>
    </row>
    <row r="673" spans="3:8" x14ac:dyDescent="0.2">
      <c r="C673" s="1"/>
      <c r="D673" s="1"/>
      <c r="E673" s="1"/>
      <c r="F673" s="1"/>
      <c r="G673" s="1"/>
      <c r="H673" s="1"/>
    </row>
    <row r="674" spans="3:8" x14ac:dyDescent="0.2">
      <c r="C674" s="1"/>
      <c r="D674" s="1"/>
      <c r="E674" s="1"/>
      <c r="F674" s="1"/>
      <c r="G674" s="1"/>
      <c r="H674" s="1"/>
    </row>
    <row r="675" spans="3:8" x14ac:dyDescent="0.2">
      <c r="C675" s="1"/>
      <c r="D675" s="1"/>
      <c r="E675" s="1"/>
      <c r="F675" s="1"/>
      <c r="G675" s="1"/>
      <c r="H675" s="1"/>
    </row>
    <row r="676" spans="3:8" x14ac:dyDescent="0.2">
      <c r="C676" s="1"/>
      <c r="D676" s="1"/>
      <c r="E676" s="1"/>
      <c r="F676" s="1"/>
      <c r="G676" s="1"/>
      <c r="H676" s="1"/>
    </row>
    <row r="677" spans="3:8" x14ac:dyDescent="0.2">
      <c r="C677" s="1"/>
      <c r="D677" s="1"/>
      <c r="E677" s="1"/>
      <c r="F677" s="1"/>
      <c r="G677" s="1"/>
      <c r="H677" s="1"/>
    </row>
    <row r="678" spans="3:8" x14ac:dyDescent="0.2">
      <c r="C678" s="1"/>
      <c r="D678" s="1"/>
      <c r="E678" s="1"/>
      <c r="F678" s="1"/>
      <c r="G678" s="1"/>
      <c r="H678" s="1"/>
    </row>
    <row r="679" spans="3:8" x14ac:dyDescent="0.2">
      <c r="C679" s="1"/>
      <c r="D679" s="1"/>
      <c r="E679" s="1"/>
      <c r="F679" s="1"/>
      <c r="G679" s="1"/>
      <c r="H679" s="1"/>
    </row>
    <row r="680" spans="3:8" x14ac:dyDescent="0.2">
      <c r="C680" s="1"/>
      <c r="D680" s="1"/>
      <c r="E680" s="1"/>
      <c r="F680" s="1"/>
      <c r="G680" s="1"/>
      <c r="H680" s="1"/>
    </row>
    <row r="681" spans="3:8" x14ac:dyDescent="0.2">
      <c r="C681" s="1"/>
      <c r="D681" s="1"/>
      <c r="E681" s="1"/>
      <c r="F681" s="1"/>
      <c r="G681" s="1"/>
      <c r="H681" s="1"/>
    </row>
    <row r="682" spans="3:8" x14ac:dyDescent="0.2">
      <c r="C682" s="1"/>
      <c r="D682" s="1"/>
      <c r="E682" s="1"/>
      <c r="F682" s="1"/>
      <c r="G682" s="1"/>
      <c r="H682" s="1"/>
    </row>
    <row r="683" spans="3:8" x14ac:dyDescent="0.2">
      <c r="C683" s="1"/>
      <c r="D683" s="1"/>
      <c r="E683" s="1"/>
      <c r="F683" s="1"/>
      <c r="G683" s="1"/>
      <c r="H683" s="1"/>
    </row>
    <row r="684" spans="3:8" x14ac:dyDescent="0.2">
      <c r="C684" s="1"/>
      <c r="D684" s="1"/>
      <c r="E684" s="1"/>
      <c r="F684" s="1"/>
      <c r="G684" s="1"/>
      <c r="H684" s="1"/>
    </row>
    <row r="685" spans="3:8" x14ac:dyDescent="0.2">
      <c r="C685" s="1"/>
      <c r="D685" s="1"/>
      <c r="E685" s="1"/>
      <c r="F685" s="1"/>
      <c r="G685" s="1"/>
      <c r="H685" s="1"/>
    </row>
    <row r="686" spans="3:8" x14ac:dyDescent="0.2">
      <c r="C686" s="1"/>
      <c r="D686" s="1"/>
      <c r="E686" s="1"/>
      <c r="F686" s="1"/>
      <c r="G686" s="1"/>
      <c r="H686" s="1"/>
    </row>
    <row r="687" spans="3:8" x14ac:dyDescent="0.2">
      <c r="C687" s="1"/>
      <c r="D687" s="1"/>
      <c r="E687" s="1"/>
      <c r="F687" s="1"/>
      <c r="G687" s="1"/>
      <c r="H687" s="1"/>
    </row>
    <row r="688" spans="3:8" x14ac:dyDescent="0.2">
      <c r="C688" s="1"/>
      <c r="D688" s="1"/>
      <c r="E688" s="1"/>
      <c r="F688" s="1"/>
      <c r="G688" s="1"/>
      <c r="H688" s="1"/>
    </row>
    <row r="689" spans="3:8" x14ac:dyDescent="0.2">
      <c r="C689" s="1"/>
      <c r="D689" s="1"/>
      <c r="E689" s="1"/>
      <c r="F689" s="1"/>
      <c r="G689" s="1"/>
      <c r="H689" s="1"/>
    </row>
    <row r="690" spans="3:8" x14ac:dyDescent="0.2">
      <c r="C690" s="1"/>
      <c r="D690" s="1"/>
      <c r="E690" s="1"/>
      <c r="F690" s="1"/>
      <c r="G690" s="1"/>
      <c r="H690" s="1"/>
    </row>
    <row r="691" spans="3:8" x14ac:dyDescent="0.2">
      <c r="C691" s="1"/>
      <c r="D691" s="1"/>
      <c r="E691" s="1"/>
      <c r="F691" s="1"/>
      <c r="G691" s="1"/>
      <c r="H691" s="1"/>
    </row>
    <row r="692" spans="3:8" x14ac:dyDescent="0.2">
      <c r="C692" s="1"/>
      <c r="D692" s="1"/>
      <c r="E692" s="1"/>
      <c r="F692" s="1"/>
      <c r="G692" s="1"/>
      <c r="H692" s="1"/>
    </row>
    <row r="693" spans="3:8" x14ac:dyDescent="0.2">
      <c r="C693" s="1"/>
      <c r="D693" s="1"/>
      <c r="E693" s="1"/>
      <c r="F693" s="1"/>
      <c r="G693" s="1"/>
      <c r="H693" s="1"/>
    </row>
    <row r="694" spans="3:8" x14ac:dyDescent="0.2">
      <c r="C694" s="1"/>
      <c r="D694" s="1"/>
      <c r="E694" s="1"/>
      <c r="F694" s="1"/>
      <c r="G694" s="1"/>
      <c r="H694" s="1"/>
    </row>
    <row r="695" spans="3:8" x14ac:dyDescent="0.2">
      <c r="C695" s="1"/>
      <c r="D695" s="1"/>
      <c r="E695" s="1"/>
      <c r="F695" s="1"/>
      <c r="G695" s="1"/>
      <c r="H695" s="1"/>
    </row>
    <row r="696" spans="3:8" x14ac:dyDescent="0.2">
      <c r="C696" s="1"/>
      <c r="D696" s="1"/>
      <c r="E696" s="1"/>
      <c r="F696" s="1"/>
      <c r="G696" s="1"/>
      <c r="H696" s="1"/>
    </row>
    <row r="697" spans="3:8" x14ac:dyDescent="0.2">
      <c r="C697" s="1"/>
      <c r="D697" s="1"/>
      <c r="E697" s="1"/>
      <c r="F697" s="1"/>
      <c r="G697" s="1"/>
      <c r="H697" s="1"/>
    </row>
    <row r="698" spans="3:8" x14ac:dyDescent="0.2">
      <c r="C698" s="1"/>
      <c r="D698" s="1"/>
      <c r="E698" s="1"/>
      <c r="F698" s="1"/>
      <c r="G698" s="1"/>
      <c r="H698" s="1"/>
    </row>
    <row r="699" spans="3:8" x14ac:dyDescent="0.2">
      <c r="C699" s="1"/>
      <c r="D699" s="1"/>
      <c r="E699" s="1"/>
      <c r="F699" s="1"/>
      <c r="G699" s="1"/>
      <c r="H699" s="1"/>
    </row>
    <row r="700" spans="3:8" x14ac:dyDescent="0.2">
      <c r="C700" s="1"/>
      <c r="D700" s="1"/>
      <c r="E700" s="1"/>
      <c r="F700" s="1"/>
      <c r="G700" s="1"/>
      <c r="H700" s="1"/>
    </row>
    <row r="701" spans="3:8" x14ac:dyDescent="0.2">
      <c r="C701" s="1"/>
      <c r="D701" s="1"/>
      <c r="E701" s="1"/>
      <c r="F701" s="1"/>
      <c r="G701" s="1"/>
      <c r="H701" s="1"/>
    </row>
    <row r="702" spans="3:8" x14ac:dyDescent="0.2">
      <c r="C702" s="1"/>
      <c r="D702" s="1"/>
      <c r="E702" s="1"/>
      <c r="F702" s="1"/>
      <c r="G702" s="1"/>
      <c r="H702" s="1"/>
    </row>
    <row r="703" spans="3:8" x14ac:dyDescent="0.2">
      <c r="C703" s="1"/>
      <c r="D703" s="1"/>
      <c r="E703" s="1"/>
      <c r="F703" s="1"/>
      <c r="G703" s="1"/>
      <c r="H703" s="1"/>
    </row>
    <row r="704" spans="3:8" x14ac:dyDescent="0.2">
      <c r="C704" s="1"/>
      <c r="D704" s="1"/>
      <c r="E704" s="1"/>
      <c r="F704" s="1"/>
      <c r="G704" s="1"/>
      <c r="H704" s="1"/>
    </row>
    <row r="705" spans="3:8" x14ac:dyDescent="0.2">
      <c r="C705" s="1"/>
      <c r="D705" s="1"/>
      <c r="E705" s="1"/>
      <c r="F705" s="1"/>
      <c r="G705" s="1"/>
      <c r="H705" s="1"/>
    </row>
    <row r="706" spans="3:8" x14ac:dyDescent="0.2">
      <c r="C706" s="1"/>
      <c r="D706" s="1"/>
      <c r="E706" s="1"/>
      <c r="F706" s="1"/>
      <c r="G706" s="1"/>
      <c r="H706" s="1"/>
    </row>
    <row r="707" spans="3:8" x14ac:dyDescent="0.2">
      <c r="C707" s="1"/>
      <c r="D707" s="1"/>
      <c r="E707" s="1"/>
      <c r="F707" s="1"/>
      <c r="G707" s="1"/>
      <c r="H707" s="1"/>
    </row>
    <row r="708" spans="3:8" x14ac:dyDescent="0.2">
      <c r="C708" s="1"/>
      <c r="D708" s="1"/>
      <c r="E708" s="1"/>
      <c r="F708" s="1"/>
      <c r="G708" s="1"/>
      <c r="H708" s="1"/>
    </row>
    <row r="709" spans="3:8" x14ac:dyDescent="0.2">
      <c r="C709" s="1"/>
      <c r="D709" s="1"/>
      <c r="E709" s="1"/>
      <c r="F709" s="1"/>
      <c r="G709" s="1"/>
      <c r="H709" s="1"/>
    </row>
    <row r="710" spans="3:8" x14ac:dyDescent="0.2">
      <c r="C710" s="1"/>
      <c r="D710" s="1"/>
      <c r="E710" s="1"/>
      <c r="F710" s="1"/>
      <c r="G710" s="1"/>
      <c r="H710" s="1"/>
    </row>
    <row r="711" spans="3:8" x14ac:dyDescent="0.2">
      <c r="C711" s="1"/>
      <c r="D711" s="1"/>
      <c r="E711" s="1"/>
      <c r="F711" s="1"/>
      <c r="G711" s="1"/>
      <c r="H711" s="1"/>
    </row>
    <row r="712" spans="3:8" x14ac:dyDescent="0.2">
      <c r="C712" s="1"/>
      <c r="D712" s="1"/>
      <c r="E712" s="1"/>
      <c r="F712" s="1"/>
      <c r="G712" s="1"/>
      <c r="H712" s="1"/>
    </row>
    <row r="713" spans="3:8" x14ac:dyDescent="0.2">
      <c r="C713" s="1"/>
      <c r="D713" s="1"/>
      <c r="E713" s="1"/>
      <c r="F713" s="1"/>
      <c r="G713" s="1"/>
      <c r="H713" s="1"/>
    </row>
    <row r="714" spans="3:8" x14ac:dyDescent="0.2">
      <c r="C714" s="1"/>
      <c r="D714" s="1"/>
      <c r="E714" s="1"/>
      <c r="F714" s="1"/>
      <c r="G714" s="1"/>
      <c r="H714" s="1"/>
    </row>
    <row r="715" spans="3:8" x14ac:dyDescent="0.2">
      <c r="C715" s="1"/>
      <c r="D715" s="1"/>
      <c r="E715" s="1"/>
      <c r="F715" s="1"/>
      <c r="G715" s="1"/>
      <c r="H715" s="1"/>
    </row>
    <row r="716" spans="3:8" x14ac:dyDescent="0.2">
      <c r="C716" s="1"/>
      <c r="D716" s="1"/>
      <c r="E716" s="1"/>
      <c r="F716" s="1"/>
      <c r="G716" s="1"/>
      <c r="H716" s="1"/>
    </row>
    <row r="717" spans="3:8" x14ac:dyDescent="0.2">
      <c r="C717" s="1"/>
      <c r="D717" s="1"/>
      <c r="E717" s="1"/>
      <c r="F717" s="1"/>
      <c r="G717" s="1"/>
      <c r="H717" s="1"/>
    </row>
    <row r="718" spans="3:8" x14ac:dyDescent="0.2">
      <c r="C718" s="1"/>
      <c r="D718" s="1"/>
      <c r="E718" s="1"/>
      <c r="F718" s="1"/>
      <c r="G718" s="1"/>
      <c r="H718" s="1"/>
    </row>
    <row r="719" spans="3:8" x14ac:dyDescent="0.2">
      <c r="C719" s="1"/>
      <c r="D719" s="1"/>
      <c r="E719" s="1"/>
      <c r="F719" s="1"/>
      <c r="G719" s="1"/>
      <c r="H719" s="1"/>
    </row>
    <row r="720" spans="3:8" x14ac:dyDescent="0.2">
      <c r="C720" s="1"/>
      <c r="D720" s="1"/>
      <c r="E720" s="1"/>
      <c r="F720" s="1"/>
      <c r="G720" s="1"/>
      <c r="H720" s="1"/>
    </row>
    <row r="721" spans="3:8" x14ac:dyDescent="0.2">
      <c r="C721" s="1"/>
      <c r="D721" s="1"/>
      <c r="E721" s="1"/>
      <c r="F721" s="1"/>
      <c r="G721" s="1"/>
      <c r="H721" s="1"/>
    </row>
    <row r="722" spans="3:8" x14ac:dyDescent="0.2">
      <c r="C722" s="1"/>
      <c r="D722" s="1"/>
      <c r="E722" s="1"/>
      <c r="F722" s="1"/>
      <c r="G722" s="1"/>
      <c r="H722" s="1"/>
    </row>
    <row r="723" spans="3:8" x14ac:dyDescent="0.2">
      <c r="C723" s="1"/>
      <c r="D723" s="1"/>
      <c r="E723" s="1"/>
      <c r="F723" s="1"/>
      <c r="G723" s="1"/>
      <c r="H723" s="1"/>
    </row>
    <row r="724" spans="3:8" x14ac:dyDescent="0.2">
      <c r="C724" s="1"/>
      <c r="D724" s="1"/>
      <c r="E724" s="1"/>
      <c r="F724" s="1"/>
      <c r="G724" s="1"/>
      <c r="H724" s="1"/>
    </row>
    <row r="725" spans="3:8" x14ac:dyDescent="0.2">
      <c r="C725" s="1"/>
      <c r="D725" s="1"/>
      <c r="E725" s="1"/>
      <c r="F725" s="1"/>
      <c r="G725" s="1"/>
      <c r="H725" s="1"/>
    </row>
    <row r="726" spans="3:8" x14ac:dyDescent="0.2">
      <c r="C726" s="1"/>
      <c r="D726" s="1"/>
      <c r="E726" s="1"/>
      <c r="F726" s="1"/>
      <c r="G726" s="1"/>
      <c r="H726" s="1"/>
    </row>
    <row r="727" spans="3:8" x14ac:dyDescent="0.2">
      <c r="C727" s="1"/>
      <c r="D727" s="1"/>
      <c r="E727" s="1"/>
      <c r="F727" s="1"/>
      <c r="G727" s="1"/>
      <c r="H727" s="1"/>
    </row>
    <row r="728" spans="3:8" x14ac:dyDescent="0.2">
      <c r="C728" s="1"/>
      <c r="D728" s="1"/>
      <c r="E728" s="1"/>
      <c r="F728" s="1"/>
      <c r="G728" s="1"/>
      <c r="H728" s="1"/>
    </row>
    <row r="729" spans="3:8" x14ac:dyDescent="0.2">
      <c r="C729" s="1"/>
      <c r="D729" s="1"/>
      <c r="E729" s="1"/>
      <c r="F729" s="1"/>
      <c r="G729" s="1"/>
      <c r="H729" s="1"/>
    </row>
    <row r="730" spans="3:8" x14ac:dyDescent="0.2">
      <c r="C730" s="1"/>
      <c r="D730" s="1"/>
      <c r="E730" s="1"/>
      <c r="F730" s="1"/>
      <c r="G730" s="1"/>
      <c r="H730" s="1"/>
    </row>
    <row r="731" spans="3:8" x14ac:dyDescent="0.2">
      <c r="C731" s="1"/>
      <c r="D731" s="1"/>
      <c r="E731" s="1"/>
      <c r="F731" s="1"/>
      <c r="G731" s="1"/>
      <c r="H731" s="1"/>
    </row>
    <row r="732" spans="3:8" x14ac:dyDescent="0.2">
      <c r="C732" s="1"/>
      <c r="D732" s="1"/>
      <c r="E732" s="1"/>
      <c r="F732" s="1"/>
      <c r="G732" s="1"/>
      <c r="H732" s="1"/>
    </row>
    <row r="733" spans="3:8" x14ac:dyDescent="0.2">
      <c r="C733" s="1"/>
      <c r="D733" s="1"/>
      <c r="E733" s="1"/>
      <c r="F733" s="1"/>
      <c r="G733" s="1"/>
      <c r="H733" s="1"/>
    </row>
    <row r="734" spans="3:8" x14ac:dyDescent="0.2">
      <c r="C734" s="1"/>
      <c r="D734" s="1"/>
      <c r="E734" s="1"/>
      <c r="F734" s="1"/>
      <c r="G734" s="1"/>
      <c r="H734" s="1"/>
    </row>
    <row r="735" spans="3:8" x14ac:dyDescent="0.2">
      <c r="C735" s="1"/>
      <c r="D735" s="1"/>
      <c r="E735" s="1"/>
      <c r="F735" s="1"/>
      <c r="G735" s="1"/>
      <c r="H735" s="1"/>
    </row>
    <row r="736" spans="3:8" x14ac:dyDescent="0.2">
      <c r="C736" s="1"/>
      <c r="D736" s="1"/>
      <c r="E736" s="1"/>
      <c r="F736" s="1"/>
      <c r="G736" s="1"/>
      <c r="H736" s="1"/>
    </row>
    <row r="737" spans="3:8" x14ac:dyDescent="0.2">
      <c r="C737" s="1"/>
      <c r="D737" s="1"/>
      <c r="E737" s="1"/>
      <c r="F737" s="1"/>
      <c r="G737" s="1"/>
      <c r="H737" s="1"/>
    </row>
    <row r="738" spans="3:8" x14ac:dyDescent="0.2">
      <c r="C738" s="1"/>
      <c r="D738" s="1"/>
      <c r="E738" s="1"/>
      <c r="F738" s="1"/>
      <c r="G738" s="1"/>
      <c r="H738" s="1"/>
    </row>
    <row r="739" spans="3:8" x14ac:dyDescent="0.2">
      <c r="C739" s="1"/>
      <c r="D739" s="1"/>
      <c r="E739" s="1"/>
      <c r="F739" s="1"/>
      <c r="G739" s="1"/>
      <c r="H739" s="1"/>
    </row>
    <row r="740" spans="3:8" x14ac:dyDescent="0.2">
      <c r="C740" s="1"/>
      <c r="D740" s="1"/>
      <c r="E740" s="1"/>
      <c r="F740" s="1"/>
      <c r="G740" s="1"/>
      <c r="H740" s="1"/>
    </row>
    <row r="741" spans="3:8" x14ac:dyDescent="0.2">
      <c r="C741" s="1"/>
      <c r="D741" s="1"/>
      <c r="E741" s="1"/>
      <c r="F741" s="1"/>
      <c r="G741" s="1"/>
      <c r="H741" s="1"/>
    </row>
    <row r="742" spans="3:8" x14ac:dyDescent="0.2">
      <c r="C742" s="1"/>
      <c r="D742" s="1"/>
      <c r="E742" s="1"/>
      <c r="F742" s="1"/>
      <c r="G742" s="1"/>
      <c r="H742" s="1"/>
    </row>
    <row r="743" spans="3:8" x14ac:dyDescent="0.2">
      <c r="C743" s="1"/>
      <c r="D743" s="1"/>
      <c r="E743" s="1"/>
      <c r="F743" s="1"/>
      <c r="G743" s="1"/>
      <c r="H743" s="1"/>
    </row>
    <row r="744" spans="3:8" x14ac:dyDescent="0.2">
      <c r="C744" s="1"/>
      <c r="D744" s="1"/>
      <c r="E744" s="1"/>
      <c r="F744" s="1"/>
      <c r="G744" s="1"/>
      <c r="H744" s="1"/>
    </row>
    <row r="745" spans="3:8" x14ac:dyDescent="0.2">
      <c r="C745" s="1"/>
      <c r="D745" s="1"/>
      <c r="E745" s="1"/>
      <c r="F745" s="1"/>
      <c r="G745" s="1"/>
      <c r="H745" s="1"/>
    </row>
    <row r="746" spans="3:8" x14ac:dyDescent="0.2">
      <c r="C746" s="1"/>
      <c r="D746" s="1"/>
      <c r="E746" s="1"/>
      <c r="F746" s="1"/>
      <c r="G746" s="1"/>
      <c r="H746" s="1"/>
    </row>
    <row r="747" spans="3:8" x14ac:dyDescent="0.2">
      <c r="C747" s="1"/>
      <c r="D747" s="1"/>
      <c r="E747" s="1"/>
      <c r="F747" s="1"/>
      <c r="G747" s="1"/>
      <c r="H747" s="1"/>
    </row>
    <row r="748" spans="3:8" x14ac:dyDescent="0.2">
      <c r="C748" s="1"/>
      <c r="D748" s="1"/>
      <c r="E748" s="1"/>
      <c r="F748" s="1"/>
      <c r="G748" s="1"/>
      <c r="H748" s="1"/>
    </row>
    <row r="749" spans="3:8" x14ac:dyDescent="0.2">
      <c r="C749" s="1"/>
      <c r="D749" s="1"/>
      <c r="E749" s="1"/>
      <c r="F749" s="1"/>
      <c r="G749" s="1"/>
      <c r="H749" s="1"/>
    </row>
    <row r="750" spans="3:8" x14ac:dyDescent="0.2">
      <c r="C750" s="1"/>
      <c r="D750" s="1"/>
      <c r="E750" s="1"/>
      <c r="F750" s="1"/>
      <c r="G750" s="1"/>
      <c r="H750" s="1"/>
    </row>
    <row r="751" spans="3:8" x14ac:dyDescent="0.2">
      <c r="C751" s="1"/>
      <c r="D751" s="1"/>
      <c r="E751" s="1"/>
      <c r="F751" s="1"/>
      <c r="G751" s="1"/>
      <c r="H751" s="1"/>
    </row>
    <row r="752" spans="3:8" x14ac:dyDescent="0.2">
      <c r="C752" s="1"/>
      <c r="D752" s="1"/>
      <c r="E752" s="1"/>
      <c r="F752" s="1"/>
      <c r="G752" s="1"/>
      <c r="H752" s="1"/>
    </row>
    <row r="753" spans="3:8" x14ac:dyDescent="0.2">
      <c r="C753" s="1"/>
      <c r="D753" s="1"/>
      <c r="E753" s="1"/>
      <c r="F753" s="1"/>
      <c r="G753" s="1"/>
      <c r="H753" s="1"/>
    </row>
    <row r="754" spans="3:8" x14ac:dyDescent="0.2">
      <c r="C754" s="1"/>
      <c r="D754" s="1"/>
      <c r="E754" s="1"/>
      <c r="F754" s="1"/>
      <c r="G754" s="1"/>
      <c r="H754" s="1"/>
    </row>
    <row r="755" spans="3:8" x14ac:dyDescent="0.2">
      <c r="C755" s="1"/>
      <c r="D755" s="1"/>
      <c r="E755" s="1"/>
      <c r="F755" s="1"/>
      <c r="G755" s="1"/>
      <c r="H755" s="1"/>
    </row>
    <row r="756" spans="3:8" x14ac:dyDescent="0.2">
      <c r="C756" s="1"/>
      <c r="D756" s="1"/>
      <c r="E756" s="1"/>
      <c r="F756" s="1"/>
      <c r="G756" s="1"/>
      <c r="H756" s="1"/>
    </row>
    <row r="757" spans="3:8" x14ac:dyDescent="0.2">
      <c r="C757" s="1"/>
      <c r="D757" s="1"/>
      <c r="E757" s="1"/>
      <c r="F757" s="1"/>
      <c r="G757" s="1"/>
      <c r="H757" s="1"/>
    </row>
    <row r="758" spans="3:8" x14ac:dyDescent="0.2">
      <c r="C758" s="1"/>
      <c r="D758" s="1"/>
      <c r="E758" s="1"/>
      <c r="F758" s="1"/>
      <c r="G758" s="1"/>
      <c r="H758" s="1"/>
    </row>
    <row r="759" spans="3:8" x14ac:dyDescent="0.2">
      <c r="C759" s="1"/>
      <c r="D759" s="1"/>
      <c r="E759" s="1"/>
      <c r="F759" s="1"/>
      <c r="G759" s="1"/>
      <c r="H759" s="1"/>
    </row>
    <row r="760" spans="3:8" x14ac:dyDescent="0.2">
      <c r="C760" s="1"/>
      <c r="D760" s="1"/>
      <c r="E760" s="1"/>
      <c r="F760" s="1"/>
      <c r="G760" s="1"/>
      <c r="H760" s="1"/>
    </row>
    <row r="761" spans="3:8" x14ac:dyDescent="0.2">
      <c r="C761" s="1"/>
      <c r="D761" s="1"/>
      <c r="E761" s="1"/>
      <c r="F761" s="1"/>
      <c r="G761" s="1"/>
      <c r="H761" s="1"/>
    </row>
    <row r="762" spans="3:8" x14ac:dyDescent="0.2">
      <c r="C762" s="1"/>
      <c r="D762" s="1"/>
      <c r="E762" s="1"/>
      <c r="F762" s="1"/>
      <c r="G762" s="1"/>
      <c r="H762" s="1"/>
    </row>
    <row r="763" spans="3:8" x14ac:dyDescent="0.2">
      <c r="C763" s="1"/>
      <c r="D763" s="1"/>
      <c r="E763" s="1"/>
      <c r="F763" s="1"/>
      <c r="G763" s="1"/>
      <c r="H763" s="1"/>
    </row>
    <row r="764" spans="3:8" x14ac:dyDescent="0.2">
      <c r="C764" s="1"/>
      <c r="D764" s="1"/>
      <c r="E764" s="1"/>
      <c r="F764" s="1"/>
      <c r="G764" s="1"/>
      <c r="H764" s="1"/>
    </row>
    <row r="765" spans="3:8" x14ac:dyDescent="0.2">
      <c r="C765" s="1"/>
      <c r="D765" s="1"/>
      <c r="E765" s="1"/>
      <c r="F765" s="1"/>
      <c r="G765" s="1"/>
      <c r="H765" s="1"/>
    </row>
    <row r="766" spans="3:8" x14ac:dyDescent="0.2">
      <c r="C766" s="1"/>
      <c r="D766" s="1"/>
      <c r="E766" s="1"/>
      <c r="F766" s="1"/>
      <c r="G766" s="1"/>
      <c r="H766" s="1"/>
    </row>
    <row r="767" spans="3:8" x14ac:dyDescent="0.2">
      <c r="C767" s="1"/>
      <c r="D767" s="1"/>
      <c r="E767" s="1"/>
      <c r="F767" s="1"/>
      <c r="G767" s="1"/>
      <c r="H767" s="1"/>
    </row>
    <row r="768" spans="3:8" x14ac:dyDescent="0.2">
      <c r="C768" s="1"/>
      <c r="D768" s="1"/>
      <c r="E768" s="1"/>
      <c r="F768" s="1"/>
      <c r="G768" s="1"/>
      <c r="H768" s="1"/>
    </row>
    <row r="769" spans="3:8" x14ac:dyDescent="0.2">
      <c r="C769" s="1"/>
      <c r="D769" s="1"/>
      <c r="E769" s="1"/>
      <c r="F769" s="1"/>
      <c r="G769" s="1"/>
      <c r="H769" s="1"/>
    </row>
    <row r="770" spans="3:8" x14ac:dyDescent="0.2">
      <c r="C770" s="1"/>
      <c r="D770" s="1"/>
      <c r="E770" s="1"/>
      <c r="F770" s="1"/>
      <c r="G770" s="1"/>
      <c r="H770" s="1"/>
    </row>
    <row r="771" spans="3:8" x14ac:dyDescent="0.2">
      <c r="C771" s="1"/>
      <c r="D771" s="1"/>
      <c r="E771" s="1"/>
      <c r="F771" s="1"/>
      <c r="G771" s="1"/>
      <c r="H771" s="1"/>
    </row>
    <row r="772" spans="3:8" x14ac:dyDescent="0.2">
      <c r="C772" s="1"/>
      <c r="D772" s="1"/>
      <c r="E772" s="1"/>
      <c r="F772" s="1"/>
      <c r="G772" s="1"/>
      <c r="H772" s="1"/>
    </row>
    <row r="773" spans="3:8" x14ac:dyDescent="0.2">
      <c r="C773" s="1"/>
      <c r="D773" s="1"/>
      <c r="E773" s="1"/>
      <c r="F773" s="1"/>
      <c r="G773" s="1"/>
      <c r="H773" s="1"/>
    </row>
    <row r="774" spans="3:8" x14ac:dyDescent="0.2">
      <c r="C774" s="1"/>
      <c r="D774" s="1"/>
      <c r="E774" s="1"/>
      <c r="F774" s="1"/>
      <c r="G774" s="1"/>
      <c r="H774" s="1"/>
    </row>
    <row r="775" spans="3:8" x14ac:dyDescent="0.2">
      <c r="C775" s="1"/>
      <c r="D775" s="1"/>
      <c r="E775" s="1"/>
      <c r="F775" s="1"/>
      <c r="G775" s="1"/>
      <c r="H775" s="1"/>
    </row>
    <row r="776" spans="3:8" x14ac:dyDescent="0.2">
      <c r="C776" s="1"/>
      <c r="D776" s="1"/>
      <c r="E776" s="1"/>
      <c r="F776" s="1"/>
      <c r="G776" s="1"/>
      <c r="H776" s="1"/>
    </row>
    <row r="777" spans="3:8" x14ac:dyDescent="0.2">
      <c r="C777" s="1"/>
      <c r="D777" s="1"/>
      <c r="E777" s="1"/>
      <c r="F777" s="1"/>
      <c r="G777" s="1"/>
      <c r="H777" s="1"/>
    </row>
    <row r="778" spans="3:8" x14ac:dyDescent="0.2">
      <c r="C778" s="1"/>
      <c r="D778" s="1"/>
      <c r="E778" s="1"/>
      <c r="F778" s="1"/>
      <c r="G778" s="1"/>
      <c r="H778" s="1"/>
    </row>
    <row r="779" spans="3:8" x14ac:dyDescent="0.2">
      <c r="C779" s="1"/>
      <c r="D779" s="1"/>
      <c r="E779" s="1"/>
      <c r="F779" s="1"/>
      <c r="G779" s="1"/>
      <c r="H779" s="1"/>
    </row>
    <row r="780" spans="3:8" x14ac:dyDescent="0.2">
      <c r="C780" s="1"/>
      <c r="D780" s="1"/>
      <c r="E780" s="1"/>
      <c r="F780" s="1"/>
      <c r="G780" s="1"/>
      <c r="H780" s="1"/>
    </row>
    <row r="781" spans="3:8" x14ac:dyDescent="0.2">
      <c r="C781" s="1"/>
      <c r="D781" s="1"/>
      <c r="E781" s="1"/>
      <c r="F781" s="1"/>
      <c r="G781" s="1"/>
      <c r="H781" s="1"/>
    </row>
    <row r="782" spans="3:8" x14ac:dyDescent="0.2">
      <c r="C782" s="1"/>
      <c r="D782" s="1"/>
      <c r="E782" s="1"/>
      <c r="F782" s="1"/>
      <c r="G782" s="1"/>
      <c r="H782" s="1"/>
    </row>
    <row r="783" spans="3:8" x14ac:dyDescent="0.2">
      <c r="C783" s="1"/>
      <c r="D783" s="1"/>
      <c r="E783" s="1"/>
      <c r="F783" s="1"/>
      <c r="G783" s="1"/>
      <c r="H783" s="1"/>
    </row>
    <row r="784" spans="3:8" x14ac:dyDescent="0.2">
      <c r="C784" s="1"/>
      <c r="D784" s="1"/>
      <c r="E784" s="1"/>
      <c r="F784" s="1"/>
      <c r="G784" s="1"/>
      <c r="H784" s="1"/>
    </row>
    <row r="785" spans="3:8" x14ac:dyDescent="0.2">
      <c r="C785" s="1"/>
      <c r="D785" s="1"/>
      <c r="E785" s="1"/>
      <c r="F785" s="1"/>
      <c r="G785" s="1"/>
      <c r="H785" s="1"/>
    </row>
    <row r="786" spans="3:8" x14ac:dyDescent="0.2">
      <c r="C786" s="1"/>
      <c r="D786" s="1"/>
      <c r="E786" s="1"/>
      <c r="F786" s="1"/>
      <c r="G786" s="1"/>
      <c r="H786" s="1"/>
    </row>
    <row r="787" spans="3:8" x14ac:dyDescent="0.2">
      <c r="C787" s="1"/>
      <c r="D787" s="1"/>
      <c r="E787" s="1"/>
      <c r="F787" s="1"/>
      <c r="G787" s="1"/>
      <c r="H787" s="1"/>
    </row>
    <row r="788" spans="3:8" x14ac:dyDescent="0.2">
      <c r="C788" s="1"/>
      <c r="D788" s="1"/>
      <c r="E788" s="1"/>
      <c r="F788" s="1"/>
      <c r="G788" s="1"/>
      <c r="H788" s="1"/>
    </row>
    <row r="789" spans="3:8" x14ac:dyDescent="0.2">
      <c r="C789" s="1"/>
      <c r="D789" s="1"/>
      <c r="E789" s="1"/>
      <c r="F789" s="1"/>
      <c r="G789" s="1"/>
      <c r="H789" s="1"/>
    </row>
    <row r="790" spans="3:8" x14ac:dyDescent="0.2">
      <c r="C790" s="1"/>
      <c r="D790" s="1"/>
      <c r="E790" s="1"/>
      <c r="F790" s="1"/>
      <c r="G790" s="1"/>
      <c r="H790" s="1"/>
    </row>
    <row r="791" spans="3:8" x14ac:dyDescent="0.2">
      <c r="C791" s="1"/>
      <c r="D791" s="1"/>
      <c r="E791" s="1"/>
      <c r="F791" s="1"/>
      <c r="G791" s="1"/>
      <c r="H791" s="1"/>
    </row>
    <row r="792" spans="3:8" x14ac:dyDescent="0.2">
      <c r="C792" s="1"/>
      <c r="D792" s="1"/>
      <c r="E792" s="1"/>
      <c r="F792" s="1"/>
      <c r="G792" s="1"/>
      <c r="H792" s="1"/>
    </row>
    <row r="793" spans="3:8" x14ac:dyDescent="0.2">
      <c r="C793" s="1"/>
      <c r="D793" s="1"/>
      <c r="E793" s="1"/>
      <c r="F793" s="1"/>
      <c r="G793" s="1"/>
      <c r="H793" s="1"/>
    </row>
    <row r="794" spans="3:8" x14ac:dyDescent="0.2">
      <c r="C794" s="1"/>
      <c r="D794" s="1"/>
      <c r="E794" s="1"/>
      <c r="F794" s="1"/>
      <c r="G794" s="1"/>
      <c r="H794" s="1"/>
    </row>
    <row r="795" spans="3:8" x14ac:dyDescent="0.2">
      <c r="C795" s="1"/>
      <c r="D795" s="1"/>
      <c r="E795" s="1"/>
      <c r="F795" s="1"/>
      <c r="G795" s="1"/>
      <c r="H795" s="1"/>
    </row>
    <row r="796" spans="3:8" x14ac:dyDescent="0.2">
      <c r="C796" s="1"/>
      <c r="D796" s="1"/>
      <c r="E796" s="1"/>
      <c r="F796" s="1"/>
      <c r="G796" s="1"/>
      <c r="H796" s="1"/>
    </row>
    <row r="797" spans="3:8" x14ac:dyDescent="0.2">
      <c r="C797" s="1"/>
      <c r="D797" s="1"/>
      <c r="E797" s="1"/>
      <c r="F797" s="1"/>
      <c r="G797" s="1"/>
      <c r="H797" s="1"/>
    </row>
    <row r="798" spans="3:8" x14ac:dyDescent="0.2">
      <c r="C798" s="1"/>
      <c r="D798" s="1"/>
      <c r="E798" s="1"/>
      <c r="F798" s="1"/>
      <c r="G798" s="1"/>
      <c r="H798" s="1"/>
    </row>
    <row r="799" spans="3:8" x14ac:dyDescent="0.2">
      <c r="C799" s="1"/>
      <c r="D799" s="1"/>
      <c r="E799" s="1"/>
      <c r="F799" s="1"/>
      <c r="G799" s="1"/>
      <c r="H799" s="1"/>
    </row>
    <row r="800" spans="3:8" x14ac:dyDescent="0.2">
      <c r="C800" s="1"/>
      <c r="D800" s="1"/>
      <c r="E800" s="1"/>
      <c r="F800" s="1"/>
      <c r="G800" s="1"/>
      <c r="H800" s="1"/>
    </row>
    <row r="801" spans="3:8" x14ac:dyDescent="0.2">
      <c r="C801" s="1"/>
      <c r="D801" s="1"/>
      <c r="E801" s="1"/>
      <c r="F801" s="1"/>
      <c r="G801" s="1"/>
      <c r="H801" s="1"/>
    </row>
    <row r="802" spans="3:8" x14ac:dyDescent="0.2">
      <c r="C802" s="1"/>
      <c r="D802" s="1"/>
      <c r="E802" s="1"/>
      <c r="F802" s="1"/>
      <c r="G802" s="1"/>
      <c r="H802" s="1"/>
    </row>
    <row r="803" spans="3:8" x14ac:dyDescent="0.2">
      <c r="C803" s="1"/>
      <c r="D803" s="1"/>
      <c r="E803" s="1"/>
      <c r="F803" s="1"/>
      <c r="G803" s="1"/>
      <c r="H803" s="1"/>
    </row>
    <row r="804" spans="3:8" x14ac:dyDescent="0.2">
      <c r="C804" s="1"/>
      <c r="D804" s="1"/>
      <c r="E804" s="1"/>
      <c r="F804" s="1"/>
      <c r="G804" s="1"/>
      <c r="H804" s="1"/>
    </row>
    <row r="805" spans="3:8" x14ac:dyDescent="0.2">
      <c r="C805" s="1"/>
      <c r="D805" s="1"/>
      <c r="E805" s="1"/>
      <c r="F805" s="1"/>
      <c r="G805" s="1"/>
      <c r="H805" s="1"/>
    </row>
    <row r="806" spans="3:8" x14ac:dyDescent="0.2">
      <c r="C806" s="1"/>
      <c r="D806" s="1"/>
      <c r="E806" s="1"/>
      <c r="F806" s="1"/>
      <c r="G806" s="1"/>
      <c r="H806" s="1"/>
    </row>
    <row r="807" spans="3:8" x14ac:dyDescent="0.2">
      <c r="C807" s="1"/>
      <c r="D807" s="1"/>
      <c r="E807" s="1"/>
      <c r="F807" s="1"/>
      <c r="G807" s="1"/>
      <c r="H807" s="1"/>
    </row>
    <row r="808" spans="3:8" x14ac:dyDescent="0.2">
      <c r="C808" s="1"/>
      <c r="D808" s="1"/>
      <c r="E808" s="1"/>
      <c r="F808" s="1"/>
      <c r="G808" s="1"/>
      <c r="H808" s="1"/>
    </row>
    <row r="809" spans="3:8" x14ac:dyDescent="0.2">
      <c r="C809" s="1"/>
      <c r="D809" s="1"/>
      <c r="E809" s="1"/>
      <c r="F809" s="1"/>
      <c r="G809" s="1"/>
      <c r="H809" s="1"/>
    </row>
    <row r="810" spans="3:8" x14ac:dyDescent="0.2">
      <c r="C810" s="1"/>
      <c r="D810" s="1"/>
      <c r="E810" s="1"/>
      <c r="F810" s="1"/>
      <c r="G810" s="1"/>
      <c r="H810" s="1"/>
    </row>
    <row r="811" spans="3:8" x14ac:dyDescent="0.2">
      <c r="C811" s="1"/>
      <c r="D811" s="1"/>
      <c r="E811" s="1"/>
      <c r="F811" s="1"/>
      <c r="G811" s="1"/>
      <c r="H811" s="1"/>
    </row>
    <row r="812" spans="3:8" x14ac:dyDescent="0.2">
      <c r="C812" s="1"/>
      <c r="D812" s="1"/>
      <c r="E812" s="1"/>
      <c r="F812" s="1"/>
      <c r="G812" s="1"/>
      <c r="H812" s="1"/>
    </row>
    <row r="813" spans="3:8" x14ac:dyDescent="0.2">
      <c r="C813" s="1"/>
      <c r="D813" s="1"/>
      <c r="E813" s="1"/>
      <c r="F813" s="1"/>
      <c r="G813" s="1"/>
      <c r="H813" s="1"/>
    </row>
    <row r="814" spans="3:8" x14ac:dyDescent="0.2">
      <c r="C814" s="1"/>
      <c r="D814" s="1"/>
      <c r="E814" s="1"/>
      <c r="F814" s="1"/>
      <c r="G814" s="1"/>
      <c r="H814" s="1"/>
    </row>
    <row r="815" spans="3:8" x14ac:dyDescent="0.2">
      <c r="C815" s="1"/>
      <c r="D815" s="1"/>
      <c r="E815" s="1"/>
      <c r="F815" s="1"/>
      <c r="G815" s="1"/>
      <c r="H815" s="1"/>
    </row>
    <row r="816" spans="3:8" x14ac:dyDescent="0.2">
      <c r="C816" s="1"/>
      <c r="D816" s="1"/>
      <c r="E816" s="1"/>
      <c r="F816" s="1"/>
      <c r="G816" s="1"/>
      <c r="H816" s="1"/>
    </row>
    <row r="817" spans="3:8" x14ac:dyDescent="0.2">
      <c r="C817" s="1"/>
      <c r="D817" s="1"/>
      <c r="E817" s="1"/>
      <c r="F817" s="1"/>
      <c r="G817" s="1"/>
      <c r="H817" s="1"/>
    </row>
    <row r="818" spans="3:8" x14ac:dyDescent="0.2">
      <c r="C818" s="1"/>
      <c r="D818" s="1"/>
      <c r="E818" s="1"/>
      <c r="F818" s="1"/>
      <c r="G818" s="1"/>
      <c r="H818" s="1"/>
    </row>
    <row r="819" spans="3:8" x14ac:dyDescent="0.2">
      <c r="C819" s="1"/>
      <c r="D819" s="1"/>
      <c r="E819" s="1"/>
      <c r="F819" s="1"/>
      <c r="G819" s="1"/>
      <c r="H819" s="1"/>
    </row>
    <row r="820" spans="3:8" x14ac:dyDescent="0.2">
      <c r="C820" s="1"/>
      <c r="D820" s="1"/>
      <c r="E820" s="1"/>
      <c r="F820" s="1"/>
      <c r="G820" s="1"/>
      <c r="H820" s="1"/>
    </row>
    <row r="821" spans="3:8" x14ac:dyDescent="0.2">
      <c r="C821" s="1"/>
      <c r="D821" s="1"/>
      <c r="E821" s="1"/>
      <c r="F821" s="1"/>
      <c r="G821" s="1"/>
      <c r="H821" s="1"/>
    </row>
    <row r="822" spans="3:8" x14ac:dyDescent="0.2">
      <c r="C822" s="1"/>
      <c r="D822" s="1"/>
      <c r="E822" s="1"/>
      <c r="F822" s="1"/>
      <c r="G822" s="1"/>
      <c r="H822" s="1"/>
    </row>
    <row r="823" spans="3:8" x14ac:dyDescent="0.2">
      <c r="C823" s="1"/>
      <c r="D823" s="1"/>
      <c r="E823" s="1"/>
      <c r="F823" s="1"/>
      <c r="G823" s="1"/>
      <c r="H823" s="1"/>
    </row>
    <row r="824" spans="3:8" x14ac:dyDescent="0.2">
      <c r="C824" s="1"/>
      <c r="D824" s="1"/>
      <c r="E824" s="1"/>
      <c r="F824" s="1"/>
      <c r="G824" s="1"/>
      <c r="H824" s="1"/>
    </row>
    <row r="825" spans="3:8" x14ac:dyDescent="0.2">
      <c r="C825" s="1"/>
      <c r="D825" s="1"/>
      <c r="E825" s="1"/>
      <c r="F825" s="1"/>
      <c r="G825" s="1"/>
      <c r="H825" s="1"/>
    </row>
    <row r="826" spans="3:8" x14ac:dyDescent="0.2">
      <c r="C826" s="1"/>
      <c r="D826" s="1"/>
      <c r="E826" s="1"/>
      <c r="F826" s="1"/>
      <c r="G826" s="1"/>
      <c r="H826" s="1"/>
    </row>
    <row r="827" spans="3:8" x14ac:dyDescent="0.2">
      <c r="C827" s="1"/>
      <c r="D827" s="1"/>
      <c r="E827" s="1"/>
      <c r="F827" s="1"/>
      <c r="G827" s="1"/>
      <c r="H827" s="1"/>
    </row>
    <row r="828" spans="3:8" x14ac:dyDescent="0.2">
      <c r="C828" s="1"/>
      <c r="D828" s="1"/>
      <c r="E828" s="1"/>
      <c r="F828" s="1"/>
      <c r="G828" s="1"/>
      <c r="H828" s="1"/>
    </row>
    <row r="829" spans="3:8" x14ac:dyDescent="0.2">
      <c r="C829" s="1"/>
      <c r="D829" s="1"/>
      <c r="E829" s="1"/>
      <c r="F829" s="1"/>
      <c r="G829" s="1"/>
      <c r="H829" s="1"/>
    </row>
    <row r="830" spans="3:8" x14ac:dyDescent="0.2">
      <c r="C830" s="1"/>
      <c r="D830" s="1"/>
      <c r="E830" s="1"/>
      <c r="F830" s="1"/>
      <c r="G830" s="1"/>
      <c r="H830" s="1"/>
    </row>
    <row r="831" spans="3:8" x14ac:dyDescent="0.2">
      <c r="C831" s="1"/>
      <c r="D831" s="1"/>
      <c r="E831" s="1"/>
      <c r="F831" s="1"/>
      <c r="G831" s="1"/>
      <c r="H831" s="1"/>
    </row>
    <row r="832" spans="3:8" x14ac:dyDescent="0.2">
      <c r="C832" s="1"/>
      <c r="D832" s="1"/>
      <c r="E832" s="1"/>
      <c r="F832" s="1"/>
      <c r="G832" s="1"/>
      <c r="H832" s="1"/>
    </row>
    <row r="833" spans="3:8" x14ac:dyDescent="0.2">
      <c r="C833" s="1"/>
      <c r="D833" s="1"/>
      <c r="E833" s="1"/>
      <c r="F833" s="1"/>
      <c r="G833" s="1"/>
      <c r="H833" s="1"/>
    </row>
    <row r="834" spans="3:8" x14ac:dyDescent="0.2">
      <c r="C834" s="1"/>
      <c r="D834" s="1"/>
      <c r="E834" s="1"/>
      <c r="F834" s="1"/>
      <c r="G834" s="1"/>
      <c r="H834" s="1"/>
    </row>
    <row r="835" spans="3:8" x14ac:dyDescent="0.2">
      <c r="C835" s="1"/>
      <c r="D835" s="1"/>
      <c r="E835" s="1"/>
      <c r="F835" s="1"/>
      <c r="G835" s="1"/>
      <c r="H835" s="1"/>
    </row>
    <row r="836" spans="3:8" x14ac:dyDescent="0.2">
      <c r="C836" s="1"/>
      <c r="D836" s="1"/>
      <c r="E836" s="1"/>
      <c r="F836" s="1"/>
      <c r="G836" s="1"/>
      <c r="H836" s="1"/>
    </row>
    <row r="837" spans="3:8" x14ac:dyDescent="0.2">
      <c r="C837" s="1"/>
      <c r="D837" s="1"/>
      <c r="E837" s="1"/>
      <c r="F837" s="1"/>
      <c r="G837" s="1"/>
      <c r="H837" s="1"/>
    </row>
    <row r="838" spans="3:8" x14ac:dyDescent="0.2">
      <c r="C838" s="1"/>
      <c r="D838" s="1"/>
      <c r="E838" s="1"/>
      <c r="F838" s="1"/>
      <c r="G838" s="1"/>
      <c r="H838" s="1"/>
    </row>
    <row r="839" spans="3:8" x14ac:dyDescent="0.2">
      <c r="C839" s="1"/>
      <c r="D839" s="1"/>
      <c r="E839" s="1"/>
      <c r="F839" s="1"/>
      <c r="G839" s="1"/>
      <c r="H839" s="1"/>
    </row>
    <row r="840" spans="3:8" x14ac:dyDescent="0.2">
      <c r="C840" s="1"/>
      <c r="D840" s="1"/>
      <c r="E840" s="1"/>
      <c r="F840" s="1"/>
      <c r="G840" s="1"/>
      <c r="H840" s="1"/>
    </row>
    <row r="841" spans="3:8" x14ac:dyDescent="0.2">
      <c r="C841" s="1"/>
      <c r="D841" s="1"/>
      <c r="E841" s="1"/>
      <c r="F841" s="1"/>
      <c r="G841" s="1"/>
      <c r="H841" s="1"/>
    </row>
    <row r="842" spans="3:8" x14ac:dyDescent="0.2">
      <c r="C842" s="1"/>
      <c r="D842" s="1"/>
      <c r="E842" s="1"/>
      <c r="F842" s="1"/>
      <c r="G842" s="1"/>
      <c r="H842" s="1"/>
    </row>
    <row r="843" spans="3:8" x14ac:dyDescent="0.2">
      <c r="C843" s="1"/>
      <c r="D843" s="1"/>
      <c r="E843" s="1"/>
      <c r="F843" s="1"/>
      <c r="G843" s="1"/>
      <c r="H843" s="1"/>
    </row>
    <row r="844" spans="3:8" x14ac:dyDescent="0.2">
      <c r="C844" s="1"/>
      <c r="D844" s="1"/>
      <c r="E844" s="1"/>
      <c r="F844" s="1"/>
      <c r="G844" s="1"/>
      <c r="H844" s="1"/>
    </row>
    <row r="845" spans="3:8" x14ac:dyDescent="0.2">
      <c r="C845" s="1"/>
      <c r="D845" s="1"/>
      <c r="E845" s="1"/>
      <c r="F845" s="1"/>
      <c r="G845" s="1"/>
      <c r="H845" s="1"/>
    </row>
    <row r="846" spans="3:8" x14ac:dyDescent="0.2">
      <c r="C846" s="1"/>
      <c r="D846" s="1"/>
      <c r="E846" s="1"/>
      <c r="F846" s="1"/>
      <c r="G846" s="1"/>
      <c r="H846" s="1"/>
    </row>
    <row r="847" spans="3:8" x14ac:dyDescent="0.2">
      <c r="C847" s="1"/>
      <c r="D847" s="1"/>
      <c r="E847" s="1"/>
      <c r="F847" s="1"/>
      <c r="G847" s="1"/>
      <c r="H847" s="1"/>
    </row>
    <row r="848" spans="3:8" x14ac:dyDescent="0.2">
      <c r="C848" s="1"/>
      <c r="D848" s="1"/>
      <c r="E848" s="1"/>
      <c r="F848" s="1"/>
      <c r="G848" s="1"/>
      <c r="H848" s="1"/>
    </row>
    <row r="849" spans="3:8" x14ac:dyDescent="0.2">
      <c r="C849" s="1"/>
      <c r="D849" s="1"/>
      <c r="E849" s="1"/>
      <c r="F849" s="1"/>
      <c r="G849" s="1"/>
      <c r="H849" s="1"/>
    </row>
    <row r="850" spans="3:8" x14ac:dyDescent="0.2">
      <c r="C850" s="1"/>
      <c r="D850" s="1"/>
      <c r="E850" s="1"/>
      <c r="F850" s="1"/>
      <c r="G850" s="1"/>
      <c r="H850" s="1"/>
    </row>
    <row r="851" spans="3:8" x14ac:dyDescent="0.2">
      <c r="C851" s="1"/>
      <c r="D851" s="1"/>
      <c r="E851" s="1"/>
      <c r="F851" s="1"/>
      <c r="G851" s="1"/>
      <c r="H851" s="1"/>
    </row>
    <row r="852" spans="3:8" x14ac:dyDescent="0.2">
      <c r="C852" s="1"/>
      <c r="D852" s="1"/>
      <c r="E852" s="1"/>
      <c r="F852" s="1"/>
      <c r="G852" s="1"/>
      <c r="H852" s="1"/>
    </row>
    <row r="853" spans="3:8" x14ac:dyDescent="0.2">
      <c r="C853" s="1"/>
      <c r="D853" s="1"/>
      <c r="E853" s="1"/>
      <c r="F853" s="1"/>
      <c r="G853" s="1"/>
      <c r="H853" s="1"/>
    </row>
    <row r="854" spans="3:8" x14ac:dyDescent="0.2">
      <c r="C854" s="1"/>
      <c r="D854" s="1"/>
      <c r="E854" s="1"/>
      <c r="F854" s="1"/>
      <c r="G854" s="1"/>
      <c r="H854" s="1"/>
    </row>
    <row r="855" spans="3:8" x14ac:dyDescent="0.2">
      <c r="C855" s="1"/>
      <c r="D855" s="1"/>
      <c r="E855" s="1"/>
      <c r="F855" s="1"/>
      <c r="G855" s="1"/>
      <c r="H855" s="1"/>
    </row>
    <row r="856" spans="3:8" x14ac:dyDescent="0.2">
      <c r="C856" s="1"/>
      <c r="D856" s="1"/>
      <c r="E856" s="1"/>
      <c r="F856" s="1"/>
      <c r="G856" s="1"/>
      <c r="H856" s="1"/>
    </row>
    <row r="857" spans="3:8" x14ac:dyDescent="0.2">
      <c r="C857" s="1"/>
      <c r="D857" s="1"/>
      <c r="E857" s="1"/>
      <c r="F857" s="1"/>
      <c r="G857" s="1"/>
      <c r="H857" s="1"/>
    </row>
    <row r="858" spans="3:8" x14ac:dyDescent="0.2">
      <c r="C858" s="1"/>
      <c r="D858" s="1"/>
      <c r="E858" s="1"/>
      <c r="F858" s="1"/>
      <c r="G858" s="1"/>
      <c r="H858" s="1"/>
    </row>
    <row r="859" spans="3:8" x14ac:dyDescent="0.2">
      <c r="C859" s="1"/>
      <c r="D859" s="1"/>
      <c r="E859" s="1"/>
      <c r="F859" s="1"/>
      <c r="G859" s="1"/>
      <c r="H859" s="1"/>
    </row>
    <row r="860" spans="3:8" x14ac:dyDescent="0.2">
      <c r="C860" s="1"/>
      <c r="D860" s="1"/>
      <c r="E860" s="1"/>
      <c r="F860" s="1"/>
      <c r="G860" s="1"/>
      <c r="H860" s="1"/>
    </row>
    <row r="861" spans="3:8" x14ac:dyDescent="0.2">
      <c r="C861" s="1"/>
      <c r="D861" s="1"/>
      <c r="E861" s="1"/>
      <c r="F861" s="1"/>
      <c r="G861" s="1"/>
      <c r="H861" s="1"/>
    </row>
    <row r="862" spans="3:8" x14ac:dyDescent="0.2">
      <c r="C862" s="1"/>
      <c r="D862" s="1"/>
      <c r="E862" s="1"/>
      <c r="F862" s="1"/>
      <c r="G862" s="1"/>
      <c r="H862" s="1"/>
    </row>
    <row r="863" spans="3:8" x14ac:dyDescent="0.2">
      <c r="C863" s="1"/>
      <c r="D863" s="1"/>
      <c r="E863" s="1"/>
      <c r="F863" s="1"/>
      <c r="G863" s="1"/>
      <c r="H863" s="1"/>
    </row>
    <row r="864" spans="3:8" x14ac:dyDescent="0.2">
      <c r="C864" s="1"/>
      <c r="D864" s="1"/>
      <c r="E864" s="1"/>
      <c r="F864" s="1"/>
      <c r="G864" s="1"/>
      <c r="H864" s="1"/>
    </row>
    <row r="865" spans="3:8" x14ac:dyDescent="0.2">
      <c r="C865" s="1"/>
      <c r="D865" s="1"/>
      <c r="E865" s="1"/>
      <c r="F865" s="1"/>
      <c r="G865" s="1"/>
      <c r="H865" s="1"/>
    </row>
    <row r="866" spans="3:8" x14ac:dyDescent="0.2">
      <c r="C866" s="1"/>
      <c r="D866" s="1"/>
      <c r="E866" s="1"/>
      <c r="F866" s="1"/>
      <c r="G866" s="1"/>
      <c r="H866" s="1"/>
    </row>
    <row r="867" spans="3:8" x14ac:dyDescent="0.2">
      <c r="C867" s="1"/>
      <c r="D867" s="1"/>
      <c r="E867" s="1"/>
      <c r="F867" s="1"/>
      <c r="G867" s="1"/>
      <c r="H867" s="1"/>
    </row>
    <row r="868" spans="3:8" x14ac:dyDescent="0.2">
      <c r="C868" s="1"/>
      <c r="D868" s="1"/>
      <c r="E868" s="1"/>
      <c r="F868" s="1"/>
      <c r="G868" s="1"/>
      <c r="H868" s="1"/>
    </row>
    <row r="869" spans="3:8" x14ac:dyDescent="0.2">
      <c r="C869" s="1"/>
      <c r="D869" s="1"/>
      <c r="E869" s="1"/>
      <c r="F869" s="1"/>
      <c r="G869" s="1"/>
      <c r="H869" s="1"/>
    </row>
    <row r="870" spans="3:8" x14ac:dyDescent="0.2">
      <c r="C870" s="1"/>
      <c r="D870" s="1"/>
      <c r="E870" s="1"/>
      <c r="F870" s="1"/>
      <c r="G870" s="1"/>
      <c r="H870" s="1"/>
    </row>
    <row r="871" spans="3:8" x14ac:dyDescent="0.2">
      <c r="C871" s="1"/>
      <c r="D871" s="1"/>
      <c r="E871" s="1"/>
      <c r="F871" s="1"/>
      <c r="G871" s="1"/>
      <c r="H871" s="1"/>
    </row>
    <row r="872" spans="3:8" x14ac:dyDescent="0.2">
      <c r="C872" s="1"/>
      <c r="D872" s="1"/>
      <c r="E872" s="1"/>
      <c r="F872" s="1"/>
      <c r="G872" s="1"/>
      <c r="H872" s="1"/>
    </row>
    <row r="873" spans="3:8" x14ac:dyDescent="0.2">
      <c r="C873" s="1"/>
      <c r="D873" s="1"/>
      <c r="E873" s="1"/>
      <c r="F873" s="1"/>
      <c r="G873" s="1"/>
      <c r="H873" s="1"/>
    </row>
    <row r="874" spans="3:8" x14ac:dyDescent="0.2">
      <c r="C874" s="1"/>
      <c r="D874" s="1"/>
      <c r="E874" s="1"/>
      <c r="F874" s="1"/>
      <c r="G874" s="1"/>
      <c r="H874" s="1"/>
    </row>
    <row r="875" spans="3:8" x14ac:dyDescent="0.2">
      <c r="C875" s="1"/>
      <c r="D875" s="1"/>
      <c r="E875" s="1"/>
      <c r="F875" s="1"/>
      <c r="G875" s="1"/>
      <c r="H875" s="1"/>
    </row>
    <row r="876" spans="3:8" x14ac:dyDescent="0.2">
      <c r="C876" s="1"/>
      <c r="D876" s="1"/>
      <c r="E876" s="1"/>
      <c r="F876" s="1"/>
      <c r="G876" s="1"/>
      <c r="H876" s="1"/>
    </row>
    <row r="877" spans="3:8" x14ac:dyDescent="0.2">
      <c r="C877" s="1"/>
      <c r="D877" s="1"/>
      <c r="E877" s="1"/>
      <c r="F877" s="1"/>
      <c r="G877" s="1"/>
      <c r="H877" s="1"/>
    </row>
    <row r="878" spans="3:8" x14ac:dyDescent="0.2">
      <c r="C878" s="1"/>
      <c r="D878" s="1"/>
      <c r="E878" s="1"/>
      <c r="F878" s="1"/>
      <c r="G878" s="1"/>
      <c r="H878" s="1"/>
    </row>
    <row r="879" spans="3:8" x14ac:dyDescent="0.2">
      <c r="C879" s="1"/>
      <c r="D879" s="1"/>
      <c r="E879" s="1"/>
      <c r="F879" s="1"/>
      <c r="G879" s="1"/>
      <c r="H879" s="1"/>
    </row>
    <row r="880" spans="3:8" x14ac:dyDescent="0.2">
      <c r="C880" s="1"/>
      <c r="D880" s="1"/>
      <c r="E880" s="1"/>
      <c r="F880" s="1"/>
      <c r="G880" s="1"/>
      <c r="H880" s="1"/>
    </row>
    <row r="881" spans="3:8" x14ac:dyDescent="0.2">
      <c r="C881" s="1"/>
      <c r="D881" s="1"/>
      <c r="E881" s="1"/>
      <c r="F881" s="1"/>
      <c r="G881" s="1"/>
      <c r="H881" s="1"/>
    </row>
    <row r="882" spans="3:8" x14ac:dyDescent="0.2">
      <c r="C882" s="1"/>
      <c r="D882" s="1"/>
      <c r="E882" s="1"/>
      <c r="F882" s="1"/>
      <c r="G882" s="1"/>
      <c r="H882" s="1"/>
    </row>
    <row r="883" spans="3:8" x14ac:dyDescent="0.2">
      <c r="C883" s="1"/>
      <c r="D883" s="1"/>
      <c r="E883" s="1"/>
      <c r="F883" s="1"/>
      <c r="G883" s="1"/>
      <c r="H883" s="1"/>
    </row>
    <row r="884" spans="3:8" x14ac:dyDescent="0.2">
      <c r="C884" s="1"/>
      <c r="D884" s="1"/>
      <c r="E884" s="1"/>
      <c r="F884" s="1"/>
      <c r="G884" s="1"/>
      <c r="H884" s="1"/>
    </row>
    <row r="885" spans="3:8" x14ac:dyDescent="0.2">
      <c r="C885" s="1"/>
      <c r="D885" s="1"/>
      <c r="E885" s="1"/>
      <c r="F885" s="1"/>
      <c r="G885" s="1"/>
      <c r="H885" s="1"/>
    </row>
    <row r="886" spans="3:8" x14ac:dyDescent="0.2">
      <c r="C886" s="1"/>
      <c r="D886" s="1"/>
      <c r="E886" s="1"/>
      <c r="F886" s="1"/>
      <c r="G886" s="1"/>
      <c r="H886" s="1"/>
    </row>
    <row r="887" spans="3:8" x14ac:dyDescent="0.2">
      <c r="C887" s="1"/>
      <c r="D887" s="1"/>
      <c r="E887" s="1"/>
      <c r="F887" s="1"/>
      <c r="G887" s="1"/>
      <c r="H887" s="1"/>
    </row>
    <row r="888" spans="3:8" x14ac:dyDescent="0.2">
      <c r="C888" s="1"/>
      <c r="D888" s="1"/>
      <c r="E888" s="1"/>
      <c r="F888" s="1"/>
      <c r="G888" s="1"/>
      <c r="H888" s="1"/>
    </row>
    <row r="889" spans="3:8" x14ac:dyDescent="0.2">
      <c r="C889" s="1"/>
      <c r="D889" s="1"/>
      <c r="E889" s="1"/>
      <c r="F889" s="1"/>
      <c r="G889" s="1"/>
      <c r="H889" s="1"/>
    </row>
    <row r="890" spans="3:8" x14ac:dyDescent="0.2">
      <c r="C890" s="1"/>
      <c r="D890" s="1"/>
      <c r="E890" s="1"/>
      <c r="F890" s="1"/>
      <c r="G890" s="1"/>
      <c r="H890" s="1"/>
    </row>
    <row r="891" spans="3:8" x14ac:dyDescent="0.2">
      <c r="C891" s="1"/>
      <c r="D891" s="1"/>
      <c r="E891" s="1"/>
      <c r="F891" s="1"/>
      <c r="G891" s="1"/>
      <c r="H891" s="1"/>
    </row>
    <row r="892" spans="3:8" x14ac:dyDescent="0.2">
      <c r="C892" s="1"/>
      <c r="D892" s="1"/>
      <c r="E892" s="1"/>
      <c r="F892" s="1"/>
      <c r="G892" s="1"/>
      <c r="H892" s="1"/>
    </row>
    <row r="893" spans="3:8" x14ac:dyDescent="0.2">
      <c r="C893" s="1"/>
      <c r="D893" s="1"/>
      <c r="E893" s="1"/>
      <c r="F893" s="1"/>
      <c r="G893" s="1"/>
      <c r="H893" s="1"/>
    </row>
    <row r="894" spans="3:8" x14ac:dyDescent="0.2">
      <c r="C894" s="1"/>
      <c r="D894" s="1"/>
      <c r="E894" s="1"/>
      <c r="F894" s="1"/>
      <c r="G894" s="1"/>
      <c r="H894" s="1"/>
    </row>
    <row r="895" spans="3:8" x14ac:dyDescent="0.2">
      <c r="C895" s="1"/>
      <c r="D895" s="1"/>
      <c r="E895" s="1"/>
      <c r="F895" s="1"/>
      <c r="G895" s="1"/>
      <c r="H895" s="1"/>
    </row>
    <row r="896" spans="3:8" x14ac:dyDescent="0.2">
      <c r="C896" s="1"/>
      <c r="D896" s="1"/>
      <c r="E896" s="1"/>
      <c r="F896" s="1"/>
      <c r="G896" s="1"/>
      <c r="H896" s="1"/>
    </row>
    <row r="897" spans="3:8" x14ac:dyDescent="0.2">
      <c r="C897" s="1"/>
      <c r="D897" s="1"/>
      <c r="E897" s="1"/>
      <c r="F897" s="1"/>
      <c r="G897" s="1"/>
      <c r="H897" s="1"/>
    </row>
    <row r="898" spans="3:8" x14ac:dyDescent="0.2">
      <c r="C898" s="1"/>
      <c r="D898" s="1"/>
      <c r="E898" s="1"/>
      <c r="F898" s="1"/>
      <c r="G898" s="1"/>
      <c r="H898" s="1"/>
    </row>
    <row r="899" spans="3:8" x14ac:dyDescent="0.2">
      <c r="C899" s="1"/>
      <c r="D899" s="1"/>
      <c r="E899" s="1"/>
      <c r="F899" s="1"/>
      <c r="G899" s="1"/>
      <c r="H899" s="1"/>
    </row>
    <row r="900" spans="3:8" x14ac:dyDescent="0.2">
      <c r="C900" s="1"/>
      <c r="D900" s="1"/>
      <c r="E900" s="1"/>
      <c r="F900" s="1"/>
      <c r="G900" s="1"/>
      <c r="H900" s="1"/>
    </row>
    <row r="901" spans="3:8" x14ac:dyDescent="0.2">
      <c r="C901" s="1"/>
      <c r="D901" s="1"/>
      <c r="E901" s="1"/>
      <c r="F901" s="1"/>
      <c r="G901" s="1"/>
      <c r="H901" s="1"/>
    </row>
    <row r="902" spans="3:8" x14ac:dyDescent="0.2">
      <c r="C902" s="1"/>
      <c r="D902" s="1"/>
      <c r="E902" s="1"/>
      <c r="F902" s="1"/>
      <c r="G902" s="1"/>
      <c r="H902" s="1"/>
    </row>
    <row r="903" spans="3:8" x14ac:dyDescent="0.2">
      <c r="C903" s="1"/>
      <c r="D903" s="1"/>
      <c r="E903" s="1"/>
      <c r="F903" s="1"/>
      <c r="G903" s="1"/>
      <c r="H903" s="1"/>
    </row>
    <row r="904" spans="3:8" x14ac:dyDescent="0.2">
      <c r="C904" s="1"/>
      <c r="D904" s="1"/>
      <c r="E904" s="1"/>
      <c r="F904" s="1"/>
      <c r="G904" s="1"/>
      <c r="H904" s="1"/>
    </row>
    <row r="905" spans="3:8" x14ac:dyDescent="0.2">
      <c r="C905" s="1"/>
      <c r="D905" s="1"/>
      <c r="E905" s="1"/>
      <c r="F905" s="1"/>
      <c r="G905" s="1"/>
      <c r="H905" s="1"/>
    </row>
    <row r="906" spans="3:8" x14ac:dyDescent="0.2">
      <c r="C906" s="1"/>
      <c r="D906" s="1"/>
      <c r="E906" s="1"/>
      <c r="F906" s="1"/>
      <c r="G906" s="1"/>
      <c r="H906" s="1"/>
    </row>
    <row r="907" spans="3:8" x14ac:dyDescent="0.2">
      <c r="C907" s="1"/>
      <c r="D907" s="1"/>
      <c r="E907" s="1"/>
      <c r="F907" s="1"/>
      <c r="G907" s="1"/>
      <c r="H907" s="1"/>
    </row>
    <row r="908" spans="3:8" x14ac:dyDescent="0.2">
      <c r="C908" s="1"/>
      <c r="D908" s="1"/>
      <c r="E908" s="1"/>
      <c r="F908" s="1"/>
      <c r="G908" s="1"/>
      <c r="H908" s="1"/>
    </row>
    <row r="909" spans="3:8" x14ac:dyDescent="0.2">
      <c r="C909" s="1"/>
      <c r="D909" s="1"/>
      <c r="E909" s="1"/>
      <c r="F909" s="1"/>
      <c r="G909" s="1"/>
      <c r="H909" s="1"/>
    </row>
    <row r="910" spans="3:8" x14ac:dyDescent="0.2">
      <c r="C910" s="1"/>
      <c r="D910" s="1"/>
      <c r="E910" s="1"/>
      <c r="F910" s="1"/>
      <c r="G910" s="1"/>
      <c r="H910" s="1"/>
    </row>
    <row r="911" spans="3:8" x14ac:dyDescent="0.2">
      <c r="C911" s="1"/>
      <c r="D911" s="1"/>
      <c r="E911" s="1"/>
      <c r="F911" s="1"/>
      <c r="G911" s="1"/>
      <c r="H911" s="1"/>
    </row>
    <row r="912" spans="3:8" x14ac:dyDescent="0.2">
      <c r="C912" s="1"/>
      <c r="D912" s="1"/>
      <c r="E912" s="1"/>
      <c r="F912" s="1"/>
      <c r="G912" s="1"/>
      <c r="H912" s="1"/>
    </row>
    <row r="913" spans="3:8" x14ac:dyDescent="0.2">
      <c r="C913" s="1"/>
      <c r="D913" s="1"/>
      <c r="E913" s="1"/>
      <c r="F913" s="1"/>
      <c r="G913" s="1"/>
      <c r="H913" s="1"/>
    </row>
    <row r="914" spans="3:8" x14ac:dyDescent="0.2">
      <c r="C914" s="1"/>
      <c r="D914" s="1"/>
      <c r="E914" s="1"/>
      <c r="F914" s="1"/>
      <c r="G914" s="1"/>
      <c r="H914" s="1"/>
    </row>
    <row r="915" spans="3:8" x14ac:dyDescent="0.2">
      <c r="C915" s="1"/>
      <c r="D915" s="1"/>
      <c r="E915" s="1"/>
      <c r="F915" s="1"/>
      <c r="G915" s="1"/>
      <c r="H915" s="1"/>
    </row>
    <row r="916" spans="3:8" x14ac:dyDescent="0.2">
      <c r="C916" s="1"/>
      <c r="D916" s="1"/>
      <c r="E916" s="1"/>
      <c r="F916" s="1"/>
      <c r="G916" s="1"/>
      <c r="H916" s="1"/>
    </row>
    <row r="917" spans="3:8" x14ac:dyDescent="0.2">
      <c r="C917" s="1"/>
      <c r="D917" s="1"/>
      <c r="E917" s="1"/>
      <c r="F917" s="1"/>
      <c r="G917" s="1"/>
      <c r="H917" s="1"/>
    </row>
    <row r="918" spans="3:8" x14ac:dyDescent="0.2">
      <c r="C918" s="1"/>
      <c r="D918" s="1"/>
      <c r="E918" s="1"/>
      <c r="F918" s="1"/>
      <c r="G918" s="1"/>
      <c r="H918" s="1"/>
    </row>
    <row r="919" spans="3:8" x14ac:dyDescent="0.2">
      <c r="C919" s="1"/>
      <c r="D919" s="1"/>
      <c r="E919" s="1"/>
      <c r="F919" s="1"/>
      <c r="G919" s="1"/>
      <c r="H919" s="1"/>
    </row>
    <row r="920" spans="3:8" x14ac:dyDescent="0.2">
      <c r="C920" s="1"/>
      <c r="D920" s="1"/>
      <c r="E920" s="1"/>
      <c r="F920" s="1"/>
      <c r="G920" s="1"/>
      <c r="H920" s="1"/>
    </row>
    <row r="921" spans="3:8" x14ac:dyDescent="0.2">
      <c r="C921" s="1"/>
      <c r="D921" s="1"/>
      <c r="E921" s="1"/>
      <c r="F921" s="1"/>
      <c r="G921" s="1"/>
      <c r="H921" s="1"/>
    </row>
    <row r="922" spans="3:8" x14ac:dyDescent="0.2">
      <c r="C922" s="1"/>
      <c r="D922" s="1"/>
      <c r="E922" s="1"/>
      <c r="F922" s="1"/>
      <c r="G922" s="1"/>
      <c r="H922" s="1"/>
    </row>
    <row r="923" spans="3:8" x14ac:dyDescent="0.2">
      <c r="C923" s="1"/>
      <c r="D923" s="1"/>
      <c r="E923" s="1"/>
      <c r="F923" s="1"/>
      <c r="G923" s="1"/>
      <c r="H923" s="1"/>
    </row>
    <row r="924" spans="3:8" x14ac:dyDescent="0.2">
      <c r="C924" s="1"/>
      <c r="D924" s="1"/>
      <c r="E924" s="1"/>
      <c r="F924" s="1"/>
      <c r="G924" s="1"/>
      <c r="H924" s="1"/>
    </row>
    <row r="925" spans="3:8" x14ac:dyDescent="0.2">
      <c r="C925" s="1"/>
      <c r="D925" s="1"/>
      <c r="E925" s="1"/>
      <c r="F925" s="1"/>
      <c r="G925" s="1"/>
      <c r="H925" s="1"/>
    </row>
    <row r="926" spans="3:8" x14ac:dyDescent="0.2">
      <c r="C926" s="1"/>
      <c r="D926" s="1"/>
      <c r="E926" s="1"/>
      <c r="F926" s="1"/>
      <c r="G926" s="1"/>
      <c r="H926" s="1"/>
    </row>
    <row r="927" spans="3:8" x14ac:dyDescent="0.2">
      <c r="C927" s="1"/>
      <c r="D927" s="1"/>
      <c r="E927" s="1"/>
      <c r="F927" s="1"/>
      <c r="G927" s="1"/>
      <c r="H927" s="1"/>
    </row>
    <row r="928" spans="3:8" x14ac:dyDescent="0.2">
      <c r="C928" s="1"/>
      <c r="D928" s="1"/>
      <c r="E928" s="1"/>
      <c r="F928" s="1"/>
      <c r="G928" s="1"/>
      <c r="H928" s="1"/>
    </row>
    <row r="929" spans="3:8" x14ac:dyDescent="0.2">
      <c r="C929" s="1"/>
      <c r="D929" s="1"/>
      <c r="E929" s="1"/>
      <c r="F929" s="1"/>
      <c r="G929" s="1"/>
      <c r="H929" s="1"/>
    </row>
    <row r="930" spans="3:8" x14ac:dyDescent="0.2">
      <c r="C930" s="1"/>
      <c r="D930" s="1"/>
      <c r="E930" s="1"/>
      <c r="F930" s="1"/>
      <c r="G930" s="1"/>
      <c r="H930" s="1"/>
    </row>
    <row r="931" spans="3:8" x14ac:dyDescent="0.2">
      <c r="C931" s="1"/>
      <c r="D931" s="1"/>
      <c r="E931" s="1"/>
      <c r="F931" s="1"/>
      <c r="G931" s="1"/>
      <c r="H931" s="1"/>
    </row>
    <row r="932" spans="3:8" x14ac:dyDescent="0.2">
      <c r="C932" s="1"/>
      <c r="D932" s="1"/>
      <c r="E932" s="1"/>
      <c r="F932" s="1"/>
      <c r="G932" s="1"/>
      <c r="H932" s="1"/>
    </row>
    <row r="933" spans="3:8" x14ac:dyDescent="0.2">
      <c r="C933" s="1"/>
      <c r="D933" s="1"/>
      <c r="E933" s="1"/>
      <c r="F933" s="1"/>
      <c r="G933" s="1"/>
      <c r="H933" s="1"/>
    </row>
    <row r="934" spans="3:8" x14ac:dyDescent="0.2">
      <c r="C934" s="1"/>
      <c r="D934" s="1"/>
      <c r="E934" s="1"/>
      <c r="F934" s="1"/>
      <c r="G934" s="1"/>
      <c r="H934" s="1"/>
    </row>
    <row r="935" spans="3:8" x14ac:dyDescent="0.2">
      <c r="C935" s="1"/>
      <c r="D935" s="1"/>
      <c r="E935" s="1"/>
      <c r="F935" s="1"/>
      <c r="G935" s="1"/>
      <c r="H935" s="1"/>
    </row>
    <row r="936" spans="3:8" x14ac:dyDescent="0.2">
      <c r="C936" s="1"/>
      <c r="D936" s="1"/>
      <c r="E936" s="1"/>
      <c r="F936" s="1"/>
      <c r="G936" s="1"/>
      <c r="H936" s="1"/>
    </row>
    <row r="937" spans="3:8" x14ac:dyDescent="0.2">
      <c r="C937" s="1"/>
      <c r="D937" s="1"/>
      <c r="E937" s="1"/>
      <c r="F937" s="1"/>
      <c r="G937" s="1"/>
      <c r="H937" s="1"/>
    </row>
    <row r="938" spans="3:8" x14ac:dyDescent="0.2">
      <c r="C938" s="1"/>
      <c r="D938" s="1"/>
      <c r="E938" s="1"/>
      <c r="F938" s="1"/>
      <c r="G938" s="1"/>
      <c r="H938" s="1"/>
    </row>
    <row r="939" spans="3:8" x14ac:dyDescent="0.2">
      <c r="C939" s="1"/>
      <c r="D939" s="1"/>
      <c r="E939" s="1"/>
      <c r="F939" s="1"/>
      <c r="G939" s="1"/>
      <c r="H939" s="1"/>
    </row>
    <row r="940" spans="3:8" x14ac:dyDescent="0.2">
      <c r="C940" s="1"/>
      <c r="D940" s="1"/>
      <c r="E940" s="1"/>
      <c r="F940" s="1"/>
      <c r="G940" s="1"/>
      <c r="H940" s="1"/>
    </row>
    <row r="941" spans="3:8" x14ac:dyDescent="0.2">
      <c r="C941" s="1"/>
      <c r="D941" s="1"/>
      <c r="E941" s="1"/>
      <c r="F941" s="1"/>
      <c r="G941" s="1"/>
      <c r="H941" s="1"/>
    </row>
    <row r="942" spans="3:8" x14ac:dyDescent="0.2">
      <c r="C942" s="1"/>
      <c r="D942" s="1"/>
      <c r="E942" s="1"/>
      <c r="F942" s="1"/>
      <c r="G942" s="1"/>
      <c r="H942" s="1"/>
    </row>
    <row r="943" spans="3:8" x14ac:dyDescent="0.2">
      <c r="C943" s="1"/>
      <c r="D943" s="1"/>
      <c r="E943" s="1"/>
      <c r="F943" s="1"/>
      <c r="G943" s="1"/>
      <c r="H943" s="1"/>
    </row>
    <row r="944" spans="3:8" x14ac:dyDescent="0.2">
      <c r="C944" s="1"/>
      <c r="D944" s="1"/>
      <c r="E944" s="1"/>
      <c r="F944" s="1"/>
      <c r="G944" s="1"/>
      <c r="H944" s="1"/>
    </row>
    <row r="945" spans="3:8" x14ac:dyDescent="0.2">
      <c r="C945" s="1"/>
      <c r="D945" s="1"/>
      <c r="E945" s="1"/>
      <c r="F945" s="1"/>
      <c r="G945" s="1"/>
      <c r="H945" s="1"/>
    </row>
    <row r="946" spans="3:8" x14ac:dyDescent="0.2">
      <c r="C946" s="1"/>
      <c r="D946" s="1"/>
      <c r="E946" s="1"/>
      <c r="F946" s="1"/>
      <c r="G946" s="1"/>
      <c r="H946" s="1"/>
    </row>
    <row r="947" spans="3:8" x14ac:dyDescent="0.2">
      <c r="C947" s="1"/>
      <c r="D947" s="1"/>
      <c r="E947" s="1"/>
      <c r="F947" s="1"/>
      <c r="G947" s="1"/>
      <c r="H947" s="1"/>
    </row>
    <row r="948" spans="3:8" x14ac:dyDescent="0.2">
      <c r="C948" s="1"/>
      <c r="D948" s="1"/>
      <c r="E948" s="1"/>
      <c r="F948" s="1"/>
      <c r="G948" s="1"/>
      <c r="H948" s="1"/>
    </row>
    <row r="949" spans="3:8" x14ac:dyDescent="0.2">
      <c r="C949" s="1"/>
      <c r="D949" s="1"/>
      <c r="E949" s="1"/>
      <c r="F949" s="1"/>
      <c r="G949" s="1"/>
      <c r="H949" s="1"/>
    </row>
    <row r="950" spans="3:8" x14ac:dyDescent="0.2">
      <c r="C950" s="1"/>
      <c r="D950" s="1"/>
      <c r="E950" s="1"/>
      <c r="F950" s="1"/>
      <c r="G950" s="1"/>
      <c r="H950" s="1"/>
    </row>
    <row r="951" spans="3:8" x14ac:dyDescent="0.2">
      <c r="C951" s="1"/>
      <c r="D951" s="1"/>
      <c r="E951" s="1"/>
      <c r="F951" s="1"/>
      <c r="G951" s="1"/>
      <c r="H951" s="1"/>
    </row>
    <row r="952" spans="3:8" x14ac:dyDescent="0.2">
      <c r="C952" s="1"/>
      <c r="D952" s="1"/>
      <c r="E952" s="1"/>
      <c r="F952" s="1"/>
      <c r="G952" s="1"/>
      <c r="H952" s="1"/>
    </row>
    <row r="953" spans="3:8" x14ac:dyDescent="0.2">
      <c r="C953" s="1"/>
      <c r="D953" s="1"/>
      <c r="E953" s="1"/>
      <c r="F953" s="1"/>
      <c r="G953" s="1"/>
      <c r="H953" s="1"/>
    </row>
    <row r="954" spans="3:8" x14ac:dyDescent="0.2">
      <c r="C954" s="1"/>
      <c r="D954" s="1"/>
      <c r="E954" s="1"/>
      <c r="F954" s="1"/>
      <c r="G954" s="1"/>
      <c r="H954" s="1"/>
    </row>
    <row r="955" spans="3:8" x14ac:dyDescent="0.2">
      <c r="C955" s="1"/>
      <c r="D955" s="1"/>
      <c r="E955" s="1"/>
      <c r="F955" s="1"/>
      <c r="G955" s="1"/>
      <c r="H955" s="1"/>
    </row>
    <row r="956" spans="3:8" x14ac:dyDescent="0.2">
      <c r="C956" s="1"/>
      <c r="D956" s="1"/>
      <c r="E956" s="1"/>
      <c r="F956" s="1"/>
      <c r="G956" s="1"/>
      <c r="H956" s="1"/>
    </row>
    <row r="957" spans="3:8" x14ac:dyDescent="0.2">
      <c r="C957" s="1"/>
      <c r="D957" s="1"/>
      <c r="E957" s="1"/>
      <c r="F957" s="1"/>
      <c r="G957" s="1"/>
      <c r="H957" s="1"/>
    </row>
    <row r="958" spans="3:8" x14ac:dyDescent="0.2">
      <c r="C958" s="1"/>
      <c r="D958" s="1"/>
      <c r="E958" s="1"/>
      <c r="F958" s="1"/>
      <c r="G958" s="1"/>
      <c r="H958" s="1"/>
    </row>
    <row r="959" spans="3:8" x14ac:dyDescent="0.2">
      <c r="C959" s="1"/>
      <c r="D959" s="1"/>
      <c r="E959" s="1"/>
      <c r="F959" s="1"/>
      <c r="G959" s="1"/>
      <c r="H959" s="1"/>
    </row>
    <row r="960" spans="3:8" x14ac:dyDescent="0.2">
      <c r="C960" s="1"/>
      <c r="D960" s="1"/>
      <c r="E960" s="1"/>
      <c r="F960" s="1"/>
      <c r="G960" s="1"/>
      <c r="H960" s="1"/>
    </row>
    <row r="961" spans="3:8" x14ac:dyDescent="0.2">
      <c r="C961" s="1"/>
      <c r="D961" s="1"/>
      <c r="E961" s="1"/>
      <c r="F961" s="1"/>
      <c r="G961" s="1"/>
      <c r="H961" s="1"/>
    </row>
    <row r="962" spans="3:8" x14ac:dyDescent="0.2">
      <c r="C962" s="1"/>
      <c r="D962" s="1"/>
      <c r="E962" s="1"/>
      <c r="F962" s="1"/>
      <c r="G962" s="1"/>
      <c r="H962" s="1"/>
    </row>
    <row r="963" spans="3:8" x14ac:dyDescent="0.2">
      <c r="C963" s="1"/>
      <c r="D963" s="1"/>
      <c r="E963" s="1"/>
      <c r="F963" s="1"/>
      <c r="G963" s="1"/>
      <c r="H963" s="1"/>
    </row>
    <row r="964" spans="3:8" x14ac:dyDescent="0.2">
      <c r="C964" s="1"/>
      <c r="D964" s="1"/>
      <c r="E964" s="1"/>
      <c r="F964" s="1"/>
      <c r="G964" s="1"/>
      <c r="H964" s="1"/>
    </row>
    <row r="965" spans="3:8" x14ac:dyDescent="0.2">
      <c r="C965" s="1"/>
      <c r="D965" s="1"/>
      <c r="E965" s="1"/>
      <c r="F965" s="1"/>
      <c r="G965" s="1"/>
      <c r="H965" s="1"/>
    </row>
    <row r="966" spans="3:8" x14ac:dyDescent="0.2">
      <c r="C966" s="1"/>
      <c r="D966" s="1"/>
      <c r="E966" s="1"/>
      <c r="F966" s="1"/>
      <c r="G966" s="1"/>
      <c r="H966" s="1"/>
    </row>
    <row r="967" spans="3:8" x14ac:dyDescent="0.2">
      <c r="C967" s="1"/>
      <c r="D967" s="1"/>
      <c r="E967" s="1"/>
      <c r="F967" s="1"/>
      <c r="G967" s="1"/>
      <c r="H967" s="1"/>
    </row>
    <row r="968" spans="3:8" x14ac:dyDescent="0.2">
      <c r="C968" s="1"/>
      <c r="D968" s="1"/>
      <c r="E968" s="1"/>
      <c r="F968" s="1"/>
      <c r="G968" s="1"/>
      <c r="H968" s="1"/>
    </row>
    <row r="969" spans="3:8" x14ac:dyDescent="0.2">
      <c r="C969" s="1"/>
      <c r="D969" s="1"/>
      <c r="E969" s="1"/>
      <c r="F969" s="1"/>
      <c r="G969" s="1"/>
      <c r="H969" s="1"/>
    </row>
    <row r="970" spans="3:8" x14ac:dyDescent="0.2">
      <c r="C970" s="1"/>
      <c r="D970" s="1"/>
      <c r="E970" s="1"/>
      <c r="F970" s="1"/>
      <c r="G970" s="1"/>
      <c r="H970" s="1"/>
    </row>
    <row r="971" spans="3:8" x14ac:dyDescent="0.2">
      <c r="C971" s="1"/>
      <c r="D971" s="1"/>
      <c r="E971" s="1"/>
      <c r="F971" s="1"/>
      <c r="G971" s="1"/>
      <c r="H971" s="1"/>
    </row>
    <row r="972" spans="3:8" x14ac:dyDescent="0.2">
      <c r="C972" s="1"/>
      <c r="D972" s="1"/>
      <c r="E972" s="1"/>
      <c r="F972" s="1"/>
      <c r="G972" s="1"/>
      <c r="H972" s="1"/>
    </row>
    <row r="973" spans="3:8" x14ac:dyDescent="0.2">
      <c r="C973" s="1"/>
      <c r="D973" s="1"/>
      <c r="E973" s="1"/>
      <c r="F973" s="1"/>
      <c r="G973" s="1"/>
      <c r="H973" s="1"/>
    </row>
    <row r="974" spans="3:8" x14ac:dyDescent="0.2">
      <c r="C974" s="1"/>
      <c r="D974" s="1"/>
      <c r="E974" s="1"/>
      <c r="F974" s="1"/>
      <c r="G974" s="1"/>
      <c r="H974" s="1"/>
    </row>
    <row r="975" spans="3:8" x14ac:dyDescent="0.2">
      <c r="C975" s="1"/>
      <c r="D975" s="1"/>
      <c r="E975" s="1"/>
      <c r="F975" s="1"/>
      <c r="G975" s="1"/>
      <c r="H975" s="1"/>
    </row>
    <row r="976" spans="3:8" x14ac:dyDescent="0.2">
      <c r="C976" s="1"/>
      <c r="D976" s="1"/>
      <c r="E976" s="1"/>
      <c r="F976" s="1"/>
      <c r="G976" s="1"/>
      <c r="H976" s="1"/>
    </row>
    <row r="977" spans="3:8" x14ac:dyDescent="0.2">
      <c r="C977" s="1"/>
      <c r="D977" s="1"/>
      <c r="E977" s="1"/>
      <c r="F977" s="1"/>
      <c r="G977" s="1"/>
      <c r="H977" s="1"/>
    </row>
    <row r="978" spans="3:8" x14ac:dyDescent="0.2">
      <c r="C978" s="1"/>
      <c r="D978" s="1"/>
      <c r="E978" s="1"/>
      <c r="F978" s="1"/>
      <c r="G978" s="1"/>
      <c r="H978" s="1"/>
    </row>
    <row r="979" spans="3:8" x14ac:dyDescent="0.2">
      <c r="C979" s="1"/>
      <c r="D979" s="1"/>
      <c r="E979" s="1"/>
      <c r="F979" s="1"/>
      <c r="G979" s="1"/>
      <c r="H979" s="1"/>
    </row>
    <row r="980" spans="3:8" x14ac:dyDescent="0.2">
      <c r="C980" s="1"/>
      <c r="D980" s="1"/>
      <c r="E980" s="1"/>
      <c r="F980" s="1"/>
      <c r="G980" s="1"/>
      <c r="H980" s="1"/>
    </row>
    <row r="981" spans="3:8" x14ac:dyDescent="0.2">
      <c r="C981" s="1"/>
      <c r="D981" s="1"/>
      <c r="E981" s="1"/>
      <c r="F981" s="1"/>
      <c r="G981" s="1"/>
      <c r="H981" s="1"/>
    </row>
    <row r="982" spans="3:8" x14ac:dyDescent="0.2">
      <c r="C982" s="1"/>
      <c r="D982" s="1"/>
      <c r="E982" s="1"/>
      <c r="F982" s="1"/>
      <c r="G982" s="1"/>
      <c r="H982" s="1"/>
    </row>
    <row r="983" spans="3:8" x14ac:dyDescent="0.2">
      <c r="C983" s="1"/>
      <c r="D983" s="1"/>
      <c r="E983" s="1"/>
      <c r="F983" s="1"/>
      <c r="G983" s="1"/>
      <c r="H983" s="1"/>
    </row>
    <row r="984" spans="3:8" x14ac:dyDescent="0.2">
      <c r="C984" s="1"/>
      <c r="D984" s="1"/>
      <c r="E984" s="1"/>
      <c r="F984" s="1"/>
      <c r="G984" s="1"/>
      <c r="H984" s="1"/>
    </row>
    <row r="985" spans="3:8" x14ac:dyDescent="0.2">
      <c r="C985" s="1"/>
      <c r="D985" s="1"/>
      <c r="E985" s="1"/>
      <c r="F985" s="1"/>
      <c r="G985" s="1"/>
      <c r="H985" s="1"/>
    </row>
    <row r="986" spans="3:8" x14ac:dyDescent="0.2">
      <c r="C986" s="1"/>
      <c r="D986" s="1"/>
      <c r="E986" s="1"/>
      <c r="F986" s="1"/>
      <c r="G986" s="1"/>
      <c r="H986" s="1"/>
    </row>
    <row r="987" spans="3:8" x14ac:dyDescent="0.2">
      <c r="C987" s="1"/>
      <c r="D987" s="1"/>
      <c r="E987" s="1"/>
      <c r="F987" s="1"/>
      <c r="G987" s="1"/>
      <c r="H987" s="1"/>
    </row>
    <row r="988" spans="3:8" x14ac:dyDescent="0.2">
      <c r="C988" s="1"/>
      <c r="D988" s="1"/>
      <c r="E988" s="1"/>
      <c r="F988" s="1"/>
      <c r="G988" s="1"/>
      <c r="H988" s="1"/>
    </row>
    <row r="989" spans="3:8" x14ac:dyDescent="0.2">
      <c r="C989" s="1"/>
      <c r="D989" s="1"/>
      <c r="E989" s="1"/>
      <c r="F989" s="1"/>
      <c r="G989" s="1"/>
      <c r="H989" s="1"/>
    </row>
    <row r="990" spans="3:8" x14ac:dyDescent="0.2">
      <c r="C990" s="1"/>
      <c r="D990" s="1"/>
      <c r="E990" s="1"/>
      <c r="F990" s="1"/>
      <c r="G990" s="1"/>
      <c r="H990" s="1"/>
    </row>
    <row r="991" spans="3:8" x14ac:dyDescent="0.2">
      <c r="C991" s="1"/>
      <c r="D991" s="1"/>
      <c r="E991" s="1"/>
      <c r="F991" s="1"/>
      <c r="G991" s="1"/>
      <c r="H991" s="1"/>
    </row>
    <row r="992" spans="3:8" x14ac:dyDescent="0.2">
      <c r="C992" s="1"/>
      <c r="D992" s="1"/>
      <c r="E992" s="1"/>
      <c r="F992" s="1"/>
      <c r="G992" s="1"/>
      <c r="H992" s="1"/>
    </row>
    <row r="993" spans="3:8" x14ac:dyDescent="0.2">
      <c r="C993" s="1"/>
      <c r="D993" s="1"/>
      <c r="E993" s="1"/>
      <c r="F993" s="1"/>
      <c r="G993" s="1"/>
      <c r="H993" s="1"/>
    </row>
    <row r="994" spans="3:8" x14ac:dyDescent="0.2">
      <c r="C994" s="1"/>
      <c r="D994" s="1"/>
      <c r="E994" s="1"/>
      <c r="F994" s="1"/>
      <c r="G994" s="1"/>
      <c r="H994" s="1"/>
    </row>
    <row r="995" spans="3:8" x14ac:dyDescent="0.2">
      <c r="C995" s="1"/>
      <c r="D995" s="1"/>
      <c r="E995" s="1"/>
      <c r="F995" s="1"/>
      <c r="G995" s="1"/>
      <c r="H995" s="1"/>
    </row>
    <row r="996" spans="3:8" x14ac:dyDescent="0.2">
      <c r="C996" s="1"/>
      <c r="D996" s="1"/>
      <c r="E996" s="1"/>
      <c r="F996" s="1"/>
      <c r="G996" s="1"/>
      <c r="H996" s="1"/>
    </row>
    <row r="997" spans="3:8" x14ac:dyDescent="0.2">
      <c r="C997" s="1"/>
      <c r="D997" s="1"/>
      <c r="E997" s="1"/>
      <c r="F997" s="1"/>
      <c r="G997" s="1"/>
      <c r="H997" s="1"/>
    </row>
    <row r="998" spans="3:8" x14ac:dyDescent="0.2">
      <c r="C998" s="1"/>
      <c r="D998" s="1"/>
      <c r="E998" s="1"/>
      <c r="F998" s="1"/>
      <c r="G998" s="1"/>
      <c r="H998" s="1"/>
    </row>
    <row r="999" spans="3:8" x14ac:dyDescent="0.2">
      <c r="C999" s="1"/>
      <c r="D999" s="1"/>
      <c r="E999" s="1"/>
      <c r="F999" s="1"/>
      <c r="G999" s="1"/>
      <c r="H999" s="1"/>
    </row>
    <row r="1000" spans="3:8" x14ac:dyDescent="0.2">
      <c r="C1000" s="1"/>
      <c r="D1000" s="1"/>
      <c r="E1000" s="1"/>
      <c r="F1000" s="1"/>
      <c r="G1000" s="1"/>
      <c r="H1000" s="1"/>
    </row>
    <row r="1001" spans="3:8" x14ac:dyDescent="0.2">
      <c r="C1001" s="1"/>
      <c r="D1001" s="1"/>
      <c r="E1001" s="1"/>
      <c r="F1001" s="1"/>
      <c r="G1001" s="1"/>
      <c r="H1001" s="1"/>
    </row>
    <row r="1002" spans="3:8" x14ac:dyDescent="0.2">
      <c r="C1002" s="1"/>
      <c r="D1002" s="1"/>
      <c r="E1002" s="1"/>
      <c r="F1002" s="1"/>
      <c r="G1002" s="1"/>
      <c r="H1002" s="1"/>
    </row>
    <row r="1003" spans="3:8" x14ac:dyDescent="0.2">
      <c r="C1003" s="1"/>
      <c r="D1003" s="1"/>
      <c r="E1003" s="1"/>
      <c r="F1003" s="1"/>
      <c r="G1003" s="1"/>
      <c r="H1003" s="1"/>
    </row>
    <row r="1004" spans="3:8" x14ac:dyDescent="0.2">
      <c r="C1004" s="1"/>
      <c r="D1004" s="1"/>
      <c r="E1004" s="1"/>
      <c r="F1004" s="1"/>
      <c r="G1004" s="1"/>
      <c r="H1004" s="1"/>
    </row>
    <row r="1005" spans="3:8" x14ac:dyDescent="0.2">
      <c r="C1005" s="1"/>
      <c r="D1005" s="1"/>
      <c r="E1005" s="1"/>
      <c r="F1005" s="1"/>
      <c r="G1005" s="1"/>
      <c r="H1005" s="1"/>
    </row>
    <row r="1006" spans="3:8" x14ac:dyDescent="0.2">
      <c r="C1006" s="1"/>
      <c r="D1006" s="1"/>
      <c r="E1006" s="1"/>
      <c r="F1006" s="1"/>
      <c r="G1006" s="1"/>
      <c r="H1006" s="1"/>
    </row>
    <row r="1007" spans="3:8" x14ac:dyDescent="0.2">
      <c r="C1007" s="1"/>
      <c r="D1007" s="1"/>
      <c r="E1007" s="1"/>
      <c r="F1007" s="1"/>
      <c r="G1007" s="1"/>
      <c r="H1007" s="1"/>
    </row>
    <row r="1008" spans="3:8" x14ac:dyDescent="0.2">
      <c r="C1008" s="1"/>
      <c r="D1008" s="1"/>
      <c r="E1008" s="1"/>
      <c r="F1008" s="1"/>
      <c r="G1008" s="1"/>
      <c r="H1008" s="1"/>
    </row>
    <row r="1009" spans="3:8" x14ac:dyDescent="0.2">
      <c r="C1009" s="1"/>
      <c r="D1009" s="1"/>
      <c r="E1009" s="1"/>
      <c r="F1009" s="1"/>
      <c r="G1009" s="1"/>
      <c r="H1009" s="1"/>
    </row>
    <row r="1010" spans="3:8" x14ac:dyDescent="0.2">
      <c r="C1010" s="1"/>
      <c r="D1010" s="1"/>
      <c r="E1010" s="1"/>
      <c r="F1010" s="1"/>
      <c r="G1010" s="1"/>
      <c r="H1010" s="1"/>
    </row>
    <row r="1011" spans="3:8" x14ac:dyDescent="0.2">
      <c r="C1011" s="1"/>
      <c r="D1011" s="1"/>
      <c r="E1011" s="1"/>
      <c r="F1011" s="1"/>
      <c r="G1011" s="1"/>
      <c r="H1011" s="1"/>
    </row>
    <row r="1012" spans="3:8" x14ac:dyDescent="0.2">
      <c r="C1012" s="1"/>
      <c r="D1012" s="1"/>
      <c r="E1012" s="1"/>
      <c r="F1012" s="1"/>
      <c r="G1012" s="1"/>
      <c r="H1012" s="1"/>
    </row>
    <row r="1013" spans="3:8" x14ac:dyDescent="0.2">
      <c r="C1013" s="1"/>
      <c r="D1013" s="1"/>
      <c r="E1013" s="1"/>
      <c r="F1013" s="1"/>
      <c r="G1013" s="1"/>
      <c r="H1013" s="1"/>
    </row>
    <row r="1014" spans="3:8" x14ac:dyDescent="0.2">
      <c r="C1014" s="1"/>
      <c r="D1014" s="1"/>
      <c r="E1014" s="1"/>
      <c r="F1014" s="1"/>
      <c r="G1014" s="1"/>
      <c r="H1014" s="1"/>
    </row>
    <row r="1015" spans="3:8" x14ac:dyDescent="0.2">
      <c r="C1015" s="1"/>
      <c r="D1015" s="1"/>
      <c r="E1015" s="1"/>
      <c r="F1015" s="1"/>
      <c r="G1015" s="1"/>
      <c r="H1015" s="1"/>
    </row>
    <row r="1016" spans="3:8" x14ac:dyDescent="0.2">
      <c r="C1016" s="1"/>
      <c r="D1016" s="1"/>
      <c r="E1016" s="1"/>
      <c r="F1016" s="1"/>
      <c r="G1016" s="1"/>
      <c r="H1016" s="1"/>
    </row>
    <row r="1017" spans="3:8" x14ac:dyDescent="0.2">
      <c r="C1017" s="1"/>
      <c r="D1017" s="1"/>
      <c r="E1017" s="1"/>
      <c r="F1017" s="1"/>
      <c r="G1017" s="1"/>
      <c r="H1017" s="1"/>
    </row>
    <row r="1018" spans="3:8" x14ac:dyDescent="0.2">
      <c r="C1018" s="1"/>
      <c r="D1018" s="1"/>
      <c r="E1018" s="1"/>
      <c r="F1018" s="1"/>
      <c r="G1018" s="1"/>
      <c r="H1018" s="1"/>
    </row>
    <row r="1019" spans="3:8" x14ac:dyDescent="0.2">
      <c r="C1019" s="1"/>
      <c r="D1019" s="1"/>
      <c r="E1019" s="1"/>
      <c r="F1019" s="1"/>
      <c r="G1019" s="1"/>
      <c r="H1019" s="1"/>
    </row>
    <row r="1020" spans="3:8" x14ac:dyDescent="0.2">
      <c r="C1020" s="1"/>
      <c r="D1020" s="1"/>
      <c r="E1020" s="1"/>
      <c r="F1020" s="1"/>
      <c r="G1020" s="1"/>
      <c r="H1020" s="1"/>
    </row>
    <row r="1021" spans="3:8" x14ac:dyDescent="0.2">
      <c r="C1021" s="1"/>
      <c r="D1021" s="1"/>
      <c r="E1021" s="1"/>
      <c r="F1021" s="1"/>
      <c r="G1021" s="1"/>
      <c r="H1021" s="1"/>
    </row>
    <row r="1022" spans="3:8" x14ac:dyDescent="0.2">
      <c r="C1022" s="1"/>
      <c r="D1022" s="1"/>
      <c r="E1022" s="1"/>
      <c r="F1022" s="1"/>
      <c r="G1022" s="1"/>
      <c r="H1022" s="1"/>
    </row>
    <row r="1023" spans="3:8" x14ac:dyDescent="0.2">
      <c r="C1023" s="1"/>
      <c r="D1023" s="1"/>
      <c r="E1023" s="1"/>
      <c r="F1023" s="1"/>
      <c r="G1023" s="1"/>
      <c r="H1023" s="1"/>
    </row>
    <row r="1024" spans="3:8" x14ac:dyDescent="0.2">
      <c r="C1024" s="1"/>
      <c r="D1024" s="1"/>
      <c r="E1024" s="1"/>
      <c r="F1024" s="1"/>
      <c r="G1024" s="1"/>
      <c r="H1024" s="1"/>
    </row>
    <row r="1025" spans="3:8" x14ac:dyDescent="0.2">
      <c r="C1025" s="1"/>
      <c r="D1025" s="1"/>
      <c r="E1025" s="1"/>
      <c r="F1025" s="1"/>
      <c r="G1025" s="1"/>
      <c r="H1025" s="1"/>
    </row>
    <row r="1026" spans="3:8" x14ac:dyDescent="0.2">
      <c r="C1026" s="1"/>
      <c r="D1026" s="1"/>
      <c r="E1026" s="1"/>
      <c r="F1026" s="1"/>
      <c r="G1026" s="1"/>
      <c r="H1026" s="1"/>
    </row>
    <row r="1027" spans="3:8" x14ac:dyDescent="0.2">
      <c r="C1027" s="1"/>
      <c r="D1027" s="1"/>
      <c r="E1027" s="1"/>
      <c r="F1027" s="1"/>
      <c r="G1027" s="1"/>
      <c r="H1027" s="1"/>
    </row>
    <row r="1028" spans="3:8" x14ac:dyDescent="0.2">
      <c r="C1028" s="1"/>
      <c r="D1028" s="1"/>
      <c r="E1028" s="1"/>
      <c r="F1028" s="1"/>
      <c r="G1028" s="1"/>
      <c r="H1028" s="1"/>
    </row>
    <row r="1029" spans="3:8" x14ac:dyDescent="0.2">
      <c r="C1029" s="1"/>
      <c r="D1029" s="1"/>
      <c r="E1029" s="1"/>
      <c r="F1029" s="1"/>
      <c r="G1029" s="1"/>
      <c r="H1029" s="1"/>
    </row>
    <row r="1030" spans="3:8" x14ac:dyDescent="0.2">
      <c r="C1030" s="1"/>
      <c r="D1030" s="1"/>
      <c r="E1030" s="1"/>
      <c r="F1030" s="1"/>
      <c r="G1030" s="1"/>
      <c r="H1030" s="1"/>
    </row>
    <row r="1031" spans="3:8" x14ac:dyDescent="0.2">
      <c r="C1031" s="1"/>
      <c r="D1031" s="1"/>
      <c r="E1031" s="1"/>
      <c r="F1031" s="1"/>
      <c r="G1031" s="1"/>
      <c r="H1031" s="1"/>
    </row>
    <row r="1032" spans="3:8" x14ac:dyDescent="0.2">
      <c r="C1032" s="1"/>
      <c r="D1032" s="1"/>
      <c r="E1032" s="1"/>
      <c r="F1032" s="1"/>
      <c r="G1032" s="1"/>
      <c r="H1032" s="1"/>
    </row>
    <row r="1033" spans="3:8" x14ac:dyDescent="0.2">
      <c r="C1033" s="1"/>
      <c r="D1033" s="1"/>
      <c r="E1033" s="1"/>
      <c r="F1033" s="1"/>
      <c r="G1033" s="1"/>
      <c r="H1033" s="1"/>
    </row>
    <row r="1034" spans="3:8" x14ac:dyDescent="0.2">
      <c r="C1034" s="1"/>
      <c r="D1034" s="1"/>
      <c r="E1034" s="1"/>
      <c r="F1034" s="1"/>
      <c r="G1034" s="1"/>
      <c r="H1034" s="1"/>
    </row>
    <row r="1035" spans="3:8" x14ac:dyDescent="0.2">
      <c r="C1035" s="1"/>
      <c r="D1035" s="1"/>
      <c r="E1035" s="1"/>
      <c r="F1035" s="1"/>
      <c r="G1035" s="1"/>
      <c r="H1035" s="1"/>
    </row>
    <row r="1036" spans="3:8" x14ac:dyDescent="0.2">
      <c r="C1036" s="1"/>
      <c r="D1036" s="1"/>
      <c r="E1036" s="1"/>
      <c r="F1036" s="1"/>
      <c r="G1036" s="1"/>
      <c r="H1036" s="1"/>
    </row>
    <row r="1037" spans="3:8" x14ac:dyDescent="0.2">
      <c r="C1037" s="1"/>
      <c r="D1037" s="1"/>
      <c r="E1037" s="1"/>
      <c r="F1037" s="1"/>
      <c r="G1037" s="1"/>
      <c r="H1037" s="1"/>
    </row>
    <row r="1038" spans="3:8" x14ac:dyDescent="0.2">
      <c r="C1038" s="1"/>
      <c r="D1038" s="1"/>
      <c r="E1038" s="1"/>
      <c r="F1038" s="1"/>
      <c r="G1038" s="1"/>
      <c r="H1038" s="1"/>
    </row>
    <row r="1039" spans="3:8" x14ac:dyDescent="0.2">
      <c r="C1039" s="1"/>
      <c r="D1039" s="1"/>
      <c r="E1039" s="1"/>
      <c r="F1039" s="1"/>
      <c r="G1039" s="1"/>
      <c r="H1039" s="1"/>
    </row>
    <row r="1040" spans="3:8" x14ac:dyDescent="0.2">
      <c r="C1040" s="1"/>
      <c r="D1040" s="1"/>
      <c r="E1040" s="1"/>
      <c r="F1040" s="1"/>
      <c r="G1040" s="1"/>
      <c r="H1040" s="1"/>
    </row>
    <row r="1041" spans="3:8" x14ac:dyDescent="0.2">
      <c r="C1041" s="1"/>
      <c r="D1041" s="1"/>
      <c r="E1041" s="1"/>
      <c r="F1041" s="1"/>
      <c r="G1041" s="1"/>
      <c r="H1041" s="1"/>
    </row>
    <row r="1042" spans="3:8" x14ac:dyDescent="0.2">
      <c r="C1042" s="1"/>
      <c r="D1042" s="1"/>
      <c r="E1042" s="1"/>
      <c r="F1042" s="1"/>
      <c r="G1042" s="1"/>
      <c r="H1042" s="1"/>
    </row>
    <row r="1043" spans="3:8" x14ac:dyDescent="0.2">
      <c r="C1043" s="1"/>
      <c r="D1043" s="1"/>
      <c r="E1043" s="1"/>
      <c r="F1043" s="1"/>
      <c r="G1043" s="1"/>
      <c r="H1043" s="1"/>
    </row>
    <row r="1044" spans="3:8" x14ac:dyDescent="0.2">
      <c r="C1044" s="1"/>
      <c r="D1044" s="1"/>
      <c r="E1044" s="1"/>
      <c r="F1044" s="1"/>
      <c r="G1044" s="1"/>
      <c r="H1044" s="1"/>
    </row>
    <row r="1045" spans="3:8" x14ac:dyDescent="0.2">
      <c r="C1045" s="1"/>
      <c r="D1045" s="1"/>
      <c r="E1045" s="1"/>
      <c r="F1045" s="1"/>
      <c r="G1045" s="1"/>
      <c r="H1045" s="1"/>
    </row>
    <row r="1046" spans="3:8" x14ac:dyDescent="0.2">
      <c r="C1046" s="1"/>
      <c r="D1046" s="1"/>
      <c r="E1046" s="1"/>
      <c r="F1046" s="1"/>
      <c r="G1046" s="1"/>
      <c r="H1046" s="1"/>
    </row>
    <row r="1047" spans="3:8" x14ac:dyDescent="0.2">
      <c r="C1047" s="1"/>
      <c r="D1047" s="1"/>
      <c r="E1047" s="1"/>
      <c r="F1047" s="1"/>
      <c r="G1047" s="1"/>
      <c r="H1047" s="1"/>
    </row>
    <row r="1048" spans="3:8" x14ac:dyDescent="0.2">
      <c r="C1048" s="1"/>
      <c r="D1048" s="1"/>
      <c r="E1048" s="1"/>
      <c r="F1048" s="1"/>
      <c r="G1048" s="1"/>
      <c r="H1048" s="1"/>
    </row>
    <row r="1049" spans="3:8" x14ac:dyDescent="0.2">
      <c r="C1049" s="1"/>
      <c r="D1049" s="1"/>
      <c r="E1049" s="1"/>
      <c r="F1049" s="1"/>
      <c r="G1049" s="1"/>
      <c r="H1049" s="1"/>
    </row>
    <row r="1050" spans="3:8" x14ac:dyDescent="0.2">
      <c r="C1050" s="1"/>
      <c r="D1050" s="1"/>
      <c r="E1050" s="1"/>
      <c r="F1050" s="1"/>
      <c r="G1050" s="1"/>
      <c r="H1050" s="1"/>
    </row>
    <row r="1051" spans="3:8" x14ac:dyDescent="0.2">
      <c r="C1051" s="1"/>
      <c r="D1051" s="1"/>
      <c r="E1051" s="1"/>
      <c r="F1051" s="1"/>
      <c r="G1051" s="1"/>
      <c r="H1051" s="1"/>
    </row>
    <row r="1052" spans="3:8" x14ac:dyDescent="0.2">
      <c r="C1052" s="1"/>
      <c r="D1052" s="1"/>
      <c r="E1052" s="1"/>
      <c r="F1052" s="1"/>
      <c r="G1052" s="1"/>
      <c r="H1052" s="1"/>
    </row>
    <row r="1053" spans="3:8" x14ac:dyDescent="0.2">
      <c r="C1053" s="1"/>
      <c r="D1053" s="1"/>
      <c r="E1053" s="1"/>
      <c r="F1053" s="1"/>
      <c r="G1053" s="1"/>
      <c r="H1053" s="1"/>
    </row>
    <row r="1054" spans="3:8" x14ac:dyDescent="0.2">
      <c r="C1054" s="1"/>
      <c r="D1054" s="1"/>
      <c r="E1054" s="1"/>
      <c r="F1054" s="1"/>
      <c r="G1054" s="1"/>
      <c r="H1054" s="1"/>
    </row>
    <row r="1055" spans="3:8" x14ac:dyDescent="0.2">
      <c r="C1055" s="1"/>
      <c r="D1055" s="1"/>
      <c r="E1055" s="1"/>
      <c r="F1055" s="1"/>
      <c r="G1055" s="1"/>
      <c r="H1055" s="1"/>
    </row>
    <row r="1056" spans="3:8" x14ac:dyDescent="0.2">
      <c r="C1056" s="1"/>
      <c r="D1056" s="1"/>
      <c r="E1056" s="1"/>
      <c r="F1056" s="1"/>
      <c r="G1056" s="1"/>
      <c r="H1056" s="1"/>
    </row>
    <row r="1057" spans="3:8" x14ac:dyDescent="0.2">
      <c r="C1057" s="1"/>
      <c r="D1057" s="1"/>
      <c r="E1057" s="1"/>
      <c r="F1057" s="1"/>
      <c r="G1057" s="1"/>
      <c r="H1057" s="1"/>
    </row>
    <row r="1058" spans="3:8" x14ac:dyDescent="0.2">
      <c r="C1058" s="1"/>
      <c r="D1058" s="1"/>
      <c r="E1058" s="1"/>
      <c r="F1058" s="1"/>
      <c r="G1058" s="1"/>
      <c r="H1058" s="1"/>
    </row>
    <row r="1059" spans="3:8" x14ac:dyDescent="0.2">
      <c r="C1059" s="1"/>
      <c r="D1059" s="1"/>
      <c r="E1059" s="1"/>
      <c r="F1059" s="1"/>
      <c r="G1059" s="1"/>
      <c r="H1059" s="1"/>
    </row>
    <row r="1060" spans="3:8" x14ac:dyDescent="0.2">
      <c r="C1060" s="1"/>
      <c r="D1060" s="1"/>
      <c r="E1060" s="1"/>
      <c r="F1060" s="1"/>
      <c r="G1060" s="1"/>
      <c r="H1060" s="1"/>
    </row>
    <row r="1061" spans="3:8" x14ac:dyDescent="0.2">
      <c r="C1061" s="1"/>
      <c r="D1061" s="1"/>
      <c r="E1061" s="1"/>
      <c r="F1061" s="1"/>
      <c r="G1061" s="1"/>
      <c r="H1061" s="1"/>
    </row>
    <row r="1062" spans="3:8" x14ac:dyDescent="0.2">
      <c r="C1062" s="1"/>
      <c r="D1062" s="1"/>
      <c r="E1062" s="1"/>
      <c r="F1062" s="1"/>
      <c r="G1062" s="1"/>
      <c r="H1062" s="1"/>
    </row>
    <row r="1063" spans="3:8" x14ac:dyDescent="0.2">
      <c r="C1063" s="1"/>
      <c r="D1063" s="1"/>
      <c r="E1063" s="1"/>
      <c r="F1063" s="1"/>
      <c r="G1063" s="1"/>
      <c r="H1063" s="1"/>
    </row>
    <row r="1064" spans="3:8" x14ac:dyDescent="0.2">
      <c r="C1064" s="1"/>
      <c r="D1064" s="1"/>
      <c r="E1064" s="1"/>
      <c r="F1064" s="1"/>
      <c r="G1064" s="1"/>
      <c r="H1064" s="1"/>
    </row>
    <row r="1065" spans="3:8" x14ac:dyDescent="0.2">
      <c r="C1065" s="1"/>
      <c r="D1065" s="1"/>
      <c r="E1065" s="1"/>
      <c r="F1065" s="1"/>
      <c r="G1065" s="1"/>
      <c r="H1065" s="1"/>
    </row>
    <row r="1066" spans="3:8" x14ac:dyDescent="0.2">
      <c r="C1066" s="1"/>
      <c r="D1066" s="1"/>
      <c r="E1066" s="1"/>
      <c r="F1066" s="1"/>
      <c r="G1066" s="1"/>
      <c r="H1066" s="1"/>
    </row>
    <row r="1067" spans="3:8" x14ac:dyDescent="0.2">
      <c r="C1067" s="1"/>
      <c r="D1067" s="1"/>
      <c r="E1067" s="1"/>
      <c r="F1067" s="1"/>
      <c r="G1067" s="1"/>
      <c r="H1067" s="1"/>
    </row>
    <row r="1068" spans="3:8" x14ac:dyDescent="0.2">
      <c r="C1068" s="1"/>
      <c r="D1068" s="1"/>
      <c r="E1068" s="1"/>
      <c r="F1068" s="1"/>
      <c r="G1068" s="1"/>
      <c r="H1068" s="1"/>
    </row>
    <row r="1069" spans="3:8" x14ac:dyDescent="0.2">
      <c r="C1069" s="1"/>
      <c r="D1069" s="1"/>
      <c r="E1069" s="1"/>
      <c r="F1069" s="1"/>
      <c r="G1069" s="1"/>
      <c r="H1069" s="1"/>
    </row>
    <row r="1070" spans="3:8" x14ac:dyDescent="0.2">
      <c r="C1070" s="1"/>
      <c r="D1070" s="1"/>
      <c r="E1070" s="1"/>
      <c r="F1070" s="1"/>
      <c r="G1070" s="1"/>
      <c r="H1070" s="1"/>
    </row>
    <row r="1071" spans="3:8" x14ac:dyDescent="0.2">
      <c r="C1071" s="1"/>
      <c r="D1071" s="1"/>
      <c r="E1071" s="1"/>
      <c r="F1071" s="1"/>
      <c r="G1071" s="1"/>
      <c r="H1071" s="1"/>
    </row>
    <row r="1072" spans="3:8" x14ac:dyDescent="0.2">
      <c r="C1072" s="1"/>
      <c r="D1072" s="1"/>
      <c r="E1072" s="1"/>
      <c r="F1072" s="1"/>
      <c r="G1072" s="1"/>
      <c r="H1072" s="1"/>
    </row>
    <row r="1073" spans="3:8" x14ac:dyDescent="0.2">
      <c r="C1073" s="1"/>
      <c r="D1073" s="1"/>
      <c r="E1073" s="1"/>
      <c r="F1073" s="1"/>
      <c r="G1073" s="1"/>
      <c r="H1073" s="1"/>
    </row>
    <row r="1074" spans="3:8" x14ac:dyDescent="0.2">
      <c r="C1074" s="1"/>
      <c r="D1074" s="1"/>
      <c r="E1074" s="1"/>
      <c r="F1074" s="1"/>
      <c r="G1074" s="1"/>
      <c r="H1074" s="1"/>
    </row>
    <row r="1075" spans="3:8" x14ac:dyDescent="0.2">
      <c r="C1075" s="1"/>
      <c r="D1075" s="1"/>
      <c r="E1075" s="1"/>
      <c r="F1075" s="1"/>
      <c r="G1075" s="1"/>
      <c r="H1075" s="1"/>
    </row>
    <row r="1076" spans="3:8" x14ac:dyDescent="0.2">
      <c r="C1076" s="1"/>
      <c r="D1076" s="1"/>
      <c r="E1076" s="1"/>
      <c r="F1076" s="1"/>
      <c r="G1076" s="1"/>
      <c r="H1076" s="1"/>
    </row>
    <row r="1077" spans="3:8" x14ac:dyDescent="0.2">
      <c r="C1077" s="1"/>
      <c r="D1077" s="1"/>
      <c r="E1077" s="1"/>
      <c r="F1077" s="1"/>
      <c r="G1077" s="1"/>
      <c r="H1077" s="1"/>
    </row>
    <row r="1078" spans="3:8" x14ac:dyDescent="0.2">
      <c r="C1078" s="1"/>
      <c r="D1078" s="1"/>
      <c r="E1078" s="1"/>
      <c r="F1078" s="1"/>
      <c r="G1078" s="1"/>
      <c r="H1078" s="1"/>
    </row>
    <row r="1079" spans="3:8" x14ac:dyDescent="0.2">
      <c r="C1079" s="1"/>
      <c r="D1079" s="1"/>
      <c r="E1079" s="1"/>
      <c r="F1079" s="1"/>
      <c r="G1079" s="1"/>
      <c r="H1079" s="1"/>
    </row>
    <row r="1080" spans="3:8" x14ac:dyDescent="0.2">
      <c r="C1080" s="1"/>
      <c r="D1080" s="1"/>
      <c r="E1080" s="1"/>
      <c r="F1080" s="1"/>
      <c r="G1080" s="1"/>
      <c r="H1080" s="1"/>
    </row>
    <row r="1081" spans="3:8" x14ac:dyDescent="0.2">
      <c r="C1081" s="1"/>
      <c r="D1081" s="1"/>
      <c r="E1081" s="1"/>
      <c r="F1081" s="1"/>
      <c r="G1081" s="1"/>
      <c r="H1081" s="1"/>
    </row>
    <row r="1082" spans="3:8" x14ac:dyDescent="0.2">
      <c r="C1082" s="1"/>
      <c r="D1082" s="1"/>
      <c r="E1082" s="1"/>
      <c r="F1082" s="1"/>
      <c r="G1082" s="1"/>
      <c r="H1082" s="1"/>
    </row>
    <row r="1083" spans="3:8" x14ac:dyDescent="0.2">
      <c r="C1083" s="1"/>
      <c r="D1083" s="1"/>
      <c r="E1083" s="1"/>
      <c r="F1083" s="1"/>
      <c r="G1083" s="1"/>
      <c r="H1083" s="1"/>
    </row>
    <row r="1084" spans="3:8" x14ac:dyDescent="0.2">
      <c r="C1084" s="1"/>
      <c r="D1084" s="1"/>
      <c r="E1084" s="1"/>
      <c r="F1084" s="1"/>
      <c r="G1084" s="1"/>
      <c r="H1084" s="1"/>
    </row>
    <row r="1085" spans="3:8" x14ac:dyDescent="0.2">
      <c r="C1085" s="1"/>
      <c r="D1085" s="1"/>
      <c r="E1085" s="1"/>
      <c r="F1085" s="1"/>
      <c r="G1085" s="1"/>
      <c r="H1085" s="1"/>
    </row>
    <row r="1086" spans="3:8" x14ac:dyDescent="0.2">
      <c r="C1086" s="1"/>
      <c r="D1086" s="1"/>
      <c r="E1086" s="1"/>
      <c r="F1086" s="1"/>
      <c r="G1086" s="1"/>
      <c r="H1086" s="1"/>
    </row>
    <row r="1087" spans="3:8" x14ac:dyDescent="0.2">
      <c r="C1087" s="1"/>
      <c r="D1087" s="1"/>
      <c r="E1087" s="1"/>
      <c r="F1087" s="1"/>
      <c r="G1087" s="1"/>
      <c r="H1087" s="1"/>
    </row>
    <row r="1088" spans="3:8" x14ac:dyDescent="0.2">
      <c r="C1088" s="1"/>
      <c r="D1088" s="1"/>
      <c r="E1088" s="1"/>
      <c r="F1088" s="1"/>
      <c r="G1088" s="1"/>
      <c r="H1088" s="1"/>
    </row>
    <row r="1089" spans="3:8" x14ac:dyDescent="0.2">
      <c r="C1089" s="1"/>
      <c r="D1089" s="1"/>
      <c r="E1089" s="1"/>
      <c r="F1089" s="1"/>
      <c r="G1089" s="1"/>
      <c r="H1089" s="1"/>
    </row>
    <row r="1090" spans="3:8" x14ac:dyDescent="0.2">
      <c r="C1090" s="1"/>
      <c r="D1090" s="1"/>
      <c r="E1090" s="1"/>
      <c r="F1090" s="1"/>
      <c r="G1090" s="1"/>
      <c r="H1090" s="1"/>
    </row>
    <row r="1091" spans="3:8" x14ac:dyDescent="0.2">
      <c r="C1091" s="1"/>
      <c r="D1091" s="1"/>
      <c r="E1091" s="1"/>
      <c r="F1091" s="1"/>
      <c r="G1091" s="1"/>
      <c r="H1091" s="1"/>
    </row>
    <row r="1092" spans="3:8" x14ac:dyDescent="0.2">
      <c r="C1092" s="1"/>
      <c r="D1092" s="1"/>
      <c r="E1092" s="1"/>
      <c r="F1092" s="1"/>
      <c r="G1092" s="1"/>
      <c r="H1092" s="1"/>
    </row>
    <row r="1093" spans="3:8" x14ac:dyDescent="0.2">
      <c r="C1093" s="1"/>
      <c r="D1093" s="1"/>
      <c r="E1093" s="1"/>
      <c r="F1093" s="1"/>
      <c r="G1093" s="1"/>
      <c r="H1093" s="1"/>
    </row>
    <row r="1094" spans="3:8" x14ac:dyDescent="0.2">
      <c r="C1094" s="1"/>
      <c r="D1094" s="1"/>
      <c r="E1094" s="1"/>
      <c r="F1094" s="1"/>
      <c r="G1094" s="1"/>
      <c r="H1094" s="1"/>
    </row>
    <row r="1095" spans="3:8" x14ac:dyDescent="0.2">
      <c r="C1095" s="1"/>
      <c r="D1095" s="1"/>
      <c r="E1095" s="1"/>
      <c r="F1095" s="1"/>
      <c r="G1095" s="1"/>
      <c r="H1095" s="1"/>
    </row>
    <row r="1096" spans="3:8" x14ac:dyDescent="0.2">
      <c r="C1096" s="1"/>
      <c r="D1096" s="1"/>
      <c r="E1096" s="1"/>
      <c r="F1096" s="1"/>
      <c r="G1096" s="1"/>
      <c r="H1096" s="1"/>
    </row>
    <row r="1097" spans="3:8" x14ac:dyDescent="0.2">
      <c r="C1097" s="1"/>
      <c r="D1097" s="1"/>
      <c r="E1097" s="1"/>
      <c r="F1097" s="1"/>
      <c r="G1097" s="1"/>
      <c r="H1097" s="1"/>
    </row>
    <row r="1098" spans="3:8" x14ac:dyDescent="0.2">
      <c r="C1098" s="1"/>
      <c r="D1098" s="1"/>
      <c r="E1098" s="1"/>
      <c r="F1098" s="1"/>
      <c r="G1098" s="1"/>
      <c r="H1098" s="1"/>
    </row>
    <row r="1099" spans="3:8" x14ac:dyDescent="0.2">
      <c r="C1099" s="1"/>
      <c r="D1099" s="1"/>
      <c r="E1099" s="1"/>
      <c r="F1099" s="1"/>
      <c r="G1099" s="1"/>
      <c r="H1099" s="1"/>
    </row>
    <row r="1100" spans="3:8" x14ac:dyDescent="0.2">
      <c r="C1100" s="1"/>
      <c r="D1100" s="1"/>
      <c r="E1100" s="1"/>
      <c r="F1100" s="1"/>
      <c r="G1100" s="1"/>
      <c r="H1100" s="1"/>
    </row>
    <row r="1101" spans="3:8" x14ac:dyDescent="0.2">
      <c r="C1101" s="1"/>
      <c r="D1101" s="1"/>
      <c r="E1101" s="1"/>
      <c r="F1101" s="1"/>
      <c r="G1101" s="1"/>
      <c r="H1101" s="1"/>
    </row>
    <row r="1102" spans="3:8" x14ac:dyDescent="0.2">
      <c r="C1102" s="1"/>
      <c r="D1102" s="1"/>
      <c r="E1102" s="1"/>
      <c r="F1102" s="1"/>
      <c r="G1102" s="1"/>
      <c r="H1102" s="1"/>
    </row>
    <row r="1103" spans="3:8" x14ac:dyDescent="0.2">
      <c r="C1103" s="1"/>
      <c r="D1103" s="1"/>
      <c r="E1103" s="1"/>
      <c r="F1103" s="1"/>
      <c r="G1103" s="1"/>
      <c r="H1103" s="1"/>
    </row>
    <row r="1104" spans="3:8" x14ac:dyDescent="0.2">
      <c r="C1104" s="1"/>
      <c r="D1104" s="1"/>
      <c r="E1104" s="1"/>
      <c r="F1104" s="1"/>
      <c r="G1104" s="1"/>
      <c r="H1104" s="1"/>
    </row>
    <row r="1105" spans="3:8" x14ac:dyDescent="0.2">
      <c r="C1105" s="1"/>
      <c r="D1105" s="1"/>
      <c r="E1105" s="1"/>
      <c r="F1105" s="1"/>
      <c r="G1105" s="1"/>
      <c r="H1105" s="1"/>
    </row>
    <row r="1106" spans="3:8" x14ac:dyDescent="0.2">
      <c r="C1106" s="1"/>
      <c r="D1106" s="1"/>
      <c r="E1106" s="1"/>
      <c r="F1106" s="1"/>
      <c r="G1106" s="1"/>
      <c r="H1106" s="1"/>
    </row>
    <row r="1107" spans="3:8" x14ac:dyDescent="0.2">
      <c r="C1107" s="1"/>
      <c r="D1107" s="1"/>
      <c r="E1107" s="1"/>
      <c r="F1107" s="1"/>
      <c r="G1107" s="1"/>
      <c r="H1107" s="1"/>
    </row>
    <row r="1108" spans="3:8" x14ac:dyDescent="0.2">
      <c r="C1108" s="1"/>
      <c r="D1108" s="1"/>
      <c r="E1108" s="1"/>
      <c r="F1108" s="1"/>
      <c r="G1108" s="1"/>
      <c r="H1108" s="1"/>
    </row>
    <row r="1109" spans="3:8" x14ac:dyDescent="0.2">
      <c r="C1109" s="1"/>
      <c r="D1109" s="1"/>
      <c r="E1109" s="1"/>
      <c r="F1109" s="1"/>
      <c r="G1109" s="1"/>
      <c r="H1109" s="1"/>
    </row>
    <row r="1110" spans="3:8" x14ac:dyDescent="0.2">
      <c r="C1110" s="1"/>
      <c r="D1110" s="1"/>
      <c r="E1110" s="1"/>
      <c r="F1110" s="1"/>
      <c r="G1110" s="1"/>
      <c r="H1110" s="1"/>
    </row>
    <row r="1111" spans="3:8" x14ac:dyDescent="0.2">
      <c r="C1111" s="1"/>
      <c r="D1111" s="1"/>
      <c r="E1111" s="1"/>
      <c r="F1111" s="1"/>
      <c r="G1111" s="1"/>
      <c r="H1111" s="1"/>
    </row>
    <row r="1112" spans="3:8" x14ac:dyDescent="0.2">
      <c r="C1112" s="1"/>
      <c r="D1112" s="1"/>
      <c r="E1112" s="1"/>
      <c r="F1112" s="1"/>
      <c r="G1112" s="1"/>
      <c r="H1112" s="1"/>
    </row>
    <row r="1113" spans="3:8" x14ac:dyDescent="0.2">
      <c r="C1113" s="1"/>
      <c r="D1113" s="1"/>
      <c r="E1113" s="1"/>
      <c r="F1113" s="1"/>
      <c r="G1113" s="1"/>
      <c r="H1113" s="1"/>
    </row>
    <row r="1114" spans="3:8" x14ac:dyDescent="0.2">
      <c r="C1114" s="1"/>
      <c r="D1114" s="1"/>
      <c r="E1114" s="1"/>
      <c r="F1114" s="1"/>
      <c r="G1114" s="1"/>
      <c r="H1114" s="1"/>
    </row>
    <row r="1115" spans="3:8" x14ac:dyDescent="0.2">
      <c r="C1115" s="1"/>
      <c r="D1115" s="1"/>
      <c r="E1115" s="1"/>
      <c r="F1115" s="1"/>
      <c r="G1115" s="1"/>
      <c r="H1115" s="1"/>
    </row>
    <row r="1116" spans="3:8" x14ac:dyDescent="0.2">
      <c r="C1116" s="1"/>
      <c r="D1116" s="1"/>
      <c r="E1116" s="1"/>
      <c r="F1116" s="1"/>
      <c r="G1116" s="1"/>
      <c r="H1116" s="1"/>
    </row>
    <row r="1117" spans="3:8" x14ac:dyDescent="0.2">
      <c r="C1117" s="1"/>
      <c r="D1117" s="1"/>
      <c r="E1117" s="1"/>
      <c r="F1117" s="1"/>
      <c r="G1117" s="1"/>
      <c r="H1117" s="1"/>
    </row>
    <row r="1118" spans="3:8" x14ac:dyDescent="0.2">
      <c r="C1118" s="1"/>
      <c r="D1118" s="1"/>
      <c r="E1118" s="1"/>
      <c r="F1118" s="1"/>
      <c r="G1118" s="1"/>
      <c r="H1118" s="1"/>
    </row>
    <row r="1119" spans="3:8" x14ac:dyDescent="0.2">
      <c r="C1119" s="1"/>
      <c r="D1119" s="1"/>
      <c r="E1119" s="1"/>
      <c r="F1119" s="1"/>
      <c r="G1119" s="1"/>
      <c r="H1119" s="1"/>
    </row>
    <row r="1120" spans="3:8" x14ac:dyDescent="0.2">
      <c r="C1120" s="1"/>
      <c r="D1120" s="1"/>
      <c r="E1120" s="1"/>
      <c r="F1120" s="1"/>
      <c r="G1120" s="1"/>
      <c r="H1120" s="1"/>
    </row>
    <row r="1121" spans="3:8" x14ac:dyDescent="0.2">
      <c r="C1121" s="1"/>
      <c r="D1121" s="1"/>
      <c r="E1121" s="1"/>
      <c r="F1121" s="1"/>
      <c r="G1121" s="1"/>
      <c r="H1121" s="1"/>
    </row>
    <row r="1122" spans="3:8" x14ac:dyDescent="0.2">
      <c r="C1122" s="1"/>
      <c r="D1122" s="1"/>
      <c r="E1122" s="1"/>
      <c r="F1122" s="1"/>
      <c r="G1122" s="1"/>
      <c r="H1122" s="1"/>
    </row>
    <row r="1123" spans="3:8" x14ac:dyDescent="0.2">
      <c r="C1123" s="1"/>
      <c r="D1123" s="1"/>
      <c r="E1123" s="1"/>
      <c r="F1123" s="1"/>
      <c r="G1123" s="1"/>
      <c r="H1123" s="1"/>
    </row>
    <row r="1124" spans="3:8" x14ac:dyDescent="0.2">
      <c r="C1124" s="1"/>
      <c r="D1124" s="1"/>
      <c r="E1124" s="1"/>
      <c r="F1124" s="1"/>
      <c r="G1124" s="1"/>
      <c r="H1124" s="1"/>
    </row>
    <row r="1125" spans="3:8" x14ac:dyDescent="0.2">
      <c r="C1125" s="1"/>
      <c r="D1125" s="1"/>
      <c r="E1125" s="1"/>
      <c r="F1125" s="1"/>
      <c r="G1125" s="1"/>
      <c r="H1125" s="1"/>
    </row>
    <row r="1126" spans="3:8" x14ac:dyDescent="0.2">
      <c r="C1126" s="1"/>
      <c r="D1126" s="1"/>
      <c r="E1126" s="1"/>
      <c r="F1126" s="1"/>
      <c r="G1126" s="1"/>
      <c r="H1126" s="1"/>
    </row>
    <row r="1127" spans="3:8" x14ac:dyDescent="0.2">
      <c r="C1127" s="1"/>
      <c r="D1127" s="1"/>
      <c r="E1127" s="1"/>
      <c r="F1127" s="1"/>
      <c r="G1127" s="1"/>
      <c r="H1127" s="1"/>
    </row>
    <row r="1128" spans="3:8" x14ac:dyDescent="0.2">
      <c r="C1128" s="1"/>
      <c r="D1128" s="1"/>
      <c r="E1128" s="1"/>
      <c r="F1128" s="1"/>
      <c r="G1128" s="1"/>
      <c r="H1128" s="1"/>
    </row>
    <row r="1129" spans="3:8" x14ac:dyDescent="0.2">
      <c r="C1129" s="1"/>
      <c r="D1129" s="1"/>
      <c r="E1129" s="1"/>
      <c r="F1129" s="1"/>
      <c r="G1129" s="1"/>
      <c r="H1129" s="1"/>
    </row>
    <row r="1130" spans="3:8" x14ac:dyDescent="0.2">
      <c r="C1130" s="1"/>
      <c r="D1130" s="1"/>
      <c r="E1130" s="1"/>
      <c r="F1130" s="1"/>
      <c r="G1130" s="1"/>
      <c r="H1130" s="1"/>
    </row>
    <row r="1131" spans="3:8" x14ac:dyDescent="0.2">
      <c r="C1131" s="1"/>
      <c r="D1131" s="1"/>
      <c r="E1131" s="1"/>
      <c r="F1131" s="1"/>
      <c r="G1131" s="1"/>
      <c r="H1131" s="1"/>
    </row>
    <row r="1132" spans="3:8" x14ac:dyDescent="0.2">
      <c r="C1132" s="1"/>
      <c r="D1132" s="1"/>
      <c r="E1132" s="1"/>
      <c r="F1132" s="1"/>
      <c r="G1132" s="1"/>
      <c r="H1132" s="1"/>
    </row>
    <row r="1133" spans="3:8" x14ac:dyDescent="0.2">
      <c r="C1133" s="1"/>
      <c r="D1133" s="1"/>
      <c r="E1133" s="1"/>
      <c r="F1133" s="1"/>
      <c r="G1133" s="1"/>
      <c r="H1133" s="1"/>
    </row>
    <row r="1134" spans="3:8" x14ac:dyDescent="0.2">
      <c r="C1134" s="1"/>
      <c r="D1134" s="1"/>
      <c r="E1134" s="1"/>
      <c r="F1134" s="1"/>
      <c r="G1134" s="1"/>
      <c r="H1134" s="1"/>
    </row>
    <row r="1135" spans="3:8" x14ac:dyDescent="0.2">
      <c r="C1135" s="1"/>
      <c r="D1135" s="1"/>
      <c r="E1135" s="1"/>
      <c r="F1135" s="1"/>
      <c r="G1135" s="1"/>
      <c r="H1135" s="1"/>
    </row>
    <row r="1136" spans="3:8" x14ac:dyDescent="0.2">
      <c r="C1136" s="1"/>
      <c r="D1136" s="1"/>
      <c r="E1136" s="1"/>
      <c r="F1136" s="1"/>
      <c r="G1136" s="1"/>
      <c r="H1136" s="1"/>
    </row>
    <row r="1137" spans="3:8" x14ac:dyDescent="0.2">
      <c r="C1137" s="1"/>
      <c r="D1137" s="1"/>
      <c r="E1137" s="1"/>
      <c r="F1137" s="1"/>
      <c r="G1137" s="1"/>
      <c r="H1137" s="1"/>
    </row>
    <row r="1138" spans="3:8" x14ac:dyDescent="0.2">
      <c r="C1138" s="1"/>
      <c r="D1138" s="1"/>
      <c r="E1138" s="1"/>
      <c r="F1138" s="1"/>
      <c r="G1138" s="1"/>
      <c r="H1138" s="1"/>
    </row>
    <row r="1139" spans="3:8" x14ac:dyDescent="0.2">
      <c r="C1139" s="1"/>
      <c r="D1139" s="1"/>
      <c r="E1139" s="1"/>
      <c r="F1139" s="1"/>
      <c r="G1139" s="1"/>
      <c r="H1139" s="1"/>
    </row>
    <row r="1140" spans="3:8" x14ac:dyDescent="0.2">
      <c r="C1140" s="1"/>
      <c r="D1140" s="1"/>
      <c r="E1140" s="1"/>
      <c r="F1140" s="1"/>
      <c r="G1140" s="1"/>
      <c r="H1140" s="1"/>
    </row>
    <row r="1141" spans="3:8" x14ac:dyDescent="0.2">
      <c r="C1141" s="1"/>
      <c r="D1141" s="1"/>
      <c r="E1141" s="1"/>
      <c r="F1141" s="1"/>
      <c r="G1141" s="1"/>
      <c r="H1141" s="1"/>
    </row>
    <row r="1142" spans="3:8" x14ac:dyDescent="0.2">
      <c r="C1142" s="1"/>
      <c r="D1142" s="1"/>
      <c r="E1142" s="1"/>
      <c r="F1142" s="1"/>
      <c r="G1142" s="1"/>
      <c r="H1142" s="1"/>
    </row>
    <row r="1143" spans="3:8" x14ac:dyDescent="0.2">
      <c r="C1143" s="1"/>
      <c r="D1143" s="1"/>
      <c r="E1143" s="1"/>
      <c r="F1143" s="1"/>
      <c r="G1143" s="1"/>
      <c r="H1143" s="1"/>
    </row>
    <row r="1144" spans="3:8" x14ac:dyDescent="0.2">
      <c r="C1144" s="1"/>
      <c r="D1144" s="1"/>
      <c r="E1144" s="1"/>
      <c r="F1144" s="1"/>
      <c r="G1144" s="1"/>
      <c r="H1144" s="1"/>
    </row>
    <row r="1145" spans="3:8" x14ac:dyDescent="0.2">
      <c r="C1145" s="1"/>
      <c r="D1145" s="1"/>
      <c r="E1145" s="1"/>
      <c r="F1145" s="1"/>
      <c r="G1145" s="1"/>
      <c r="H1145" s="1"/>
    </row>
    <row r="1146" spans="3:8" x14ac:dyDescent="0.2">
      <c r="C1146" s="1"/>
      <c r="D1146" s="1"/>
      <c r="E1146" s="1"/>
      <c r="F1146" s="1"/>
      <c r="G1146" s="1"/>
      <c r="H1146" s="1"/>
    </row>
    <row r="1147" spans="3:8" x14ac:dyDescent="0.2">
      <c r="C1147" s="1"/>
      <c r="D1147" s="1"/>
      <c r="E1147" s="1"/>
      <c r="F1147" s="1"/>
      <c r="G1147" s="1"/>
      <c r="H1147" s="1"/>
    </row>
    <row r="1148" spans="3:8" x14ac:dyDescent="0.2">
      <c r="C1148" s="1"/>
      <c r="D1148" s="1"/>
      <c r="E1148" s="1"/>
      <c r="F1148" s="1"/>
      <c r="G1148" s="1"/>
      <c r="H1148" s="1"/>
    </row>
    <row r="1149" spans="3:8" x14ac:dyDescent="0.2">
      <c r="C1149" s="1"/>
      <c r="D1149" s="1"/>
      <c r="E1149" s="1"/>
      <c r="F1149" s="1"/>
      <c r="G1149" s="1"/>
      <c r="H1149" s="1"/>
    </row>
    <row r="1150" spans="3:8" x14ac:dyDescent="0.2">
      <c r="C1150" s="1"/>
      <c r="D1150" s="1"/>
      <c r="E1150" s="1"/>
      <c r="F1150" s="1"/>
      <c r="G1150" s="1"/>
      <c r="H1150" s="1"/>
    </row>
    <row r="1151" spans="3:8" x14ac:dyDescent="0.2">
      <c r="C1151" s="1"/>
      <c r="D1151" s="1"/>
      <c r="E1151" s="1"/>
      <c r="F1151" s="1"/>
      <c r="G1151" s="1"/>
      <c r="H1151" s="1"/>
    </row>
    <row r="1152" spans="3:8" x14ac:dyDescent="0.2">
      <c r="C1152" s="1"/>
      <c r="D1152" s="1"/>
      <c r="E1152" s="1"/>
      <c r="F1152" s="1"/>
      <c r="G1152" s="1"/>
      <c r="H1152" s="1"/>
    </row>
    <row r="1153" spans="3:8" x14ac:dyDescent="0.2">
      <c r="C1153" s="1"/>
      <c r="D1153" s="1"/>
      <c r="E1153" s="1"/>
      <c r="F1153" s="1"/>
      <c r="G1153" s="1"/>
      <c r="H1153" s="1"/>
    </row>
    <row r="1154" spans="3:8" x14ac:dyDescent="0.2">
      <c r="C1154" s="1"/>
      <c r="D1154" s="1"/>
      <c r="E1154" s="1"/>
      <c r="F1154" s="1"/>
      <c r="G1154" s="1"/>
      <c r="H1154" s="1"/>
    </row>
    <row r="1155" spans="3:8" x14ac:dyDescent="0.2">
      <c r="C1155" s="1"/>
      <c r="D1155" s="1"/>
      <c r="E1155" s="1"/>
      <c r="F1155" s="1"/>
      <c r="G1155" s="1"/>
      <c r="H1155" s="1"/>
    </row>
    <row r="1156" spans="3:8" x14ac:dyDescent="0.2">
      <c r="C1156" s="1"/>
      <c r="D1156" s="1"/>
      <c r="E1156" s="1"/>
      <c r="F1156" s="1"/>
      <c r="G1156" s="1"/>
      <c r="H1156" s="1"/>
    </row>
    <row r="1157" spans="3:8" x14ac:dyDescent="0.2">
      <c r="C1157" s="1"/>
      <c r="D1157" s="1"/>
      <c r="E1157" s="1"/>
      <c r="F1157" s="1"/>
      <c r="G1157" s="1"/>
      <c r="H1157" s="1"/>
    </row>
    <row r="1158" spans="3:8" x14ac:dyDescent="0.2">
      <c r="C1158" s="1"/>
      <c r="D1158" s="1"/>
      <c r="E1158" s="1"/>
      <c r="F1158" s="1"/>
      <c r="G1158" s="1"/>
      <c r="H1158" s="1"/>
    </row>
    <row r="1159" spans="3:8" x14ac:dyDescent="0.2">
      <c r="C1159" s="1"/>
      <c r="D1159" s="1"/>
      <c r="E1159" s="1"/>
      <c r="F1159" s="1"/>
      <c r="G1159" s="1"/>
      <c r="H1159" s="1"/>
    </row>
    <row r="1160" spans="3:8" x14ac:dyDescent="0.2">
      <c r="C1160" s="1"/>
      <c r="D1160" s="1"/>
      <c r="E1160" s="1"/>
      <c r="F1160" s="1"/>
      <c r="G1160" s="1"/>
      <c r="H1160" s="1"/>
    </row>
    <row r="1161" spans="3:8" x14ac:dyDescent="0.2">
      <c r="C1161" s="1"/>
      <c r="D1161" s="1"/>
      <c r="E1161" s="1"/>
      <c r="F1161" s="1"/>
      <c r="G1161" s="1"/>
      <c r="H1161" s="1"/>
    </row>
    <row r="1162" spans="3:8" x14ac:dyDescent="0.2">
      <c r="C1162" s="1"/>
      <c r="D1162" s="1"/>
      <c r="E1162" s="1"/>
      <c r="F1162" s="1"/>
      <c r="G1162" s="1"/>
      <c r="H1162" s="1"/>
    </row>
    <row r="1163" spans="3:8" x14ac:dyDescent="0.2">
      <c r="C1163" s="1"/>
      <c r="D1163" s="1"/>
      <c r="E1163" s="1"/>
      <c r="F1163" s="1"/>
      <c r="G1163" s="1"/>
      <c r="H1163" s="1"/>
    </row>
    <row r="1164" spans="3:8" x14ac:dyDescent="0.2">
      <c r="C1164" s="1"/>
      <c r="D1164" s="1"/>
      <c r="E1164" s="1"/>
      <c r="F1164" s="1"/>
      <c r="G1164" s="1"/>
      <c r="H1164" s="1"/>
    </row>
    <row r="1165" spans="3:8" x14ac:dyDescent="0.2">
      <c r="C1165" s="1"/>
      <c r="D1165" s="1"/>
      <c r="E1165" s="1"/>
      <c r="F1165" s="1"/>
      <c r="G1165" s="1"/>
      <c r="H1165" s="1"/>
    </row>
    <row r="1166" spans="3:8" x14ac:dyDescent="0.2">
      <c r="C1166" s="1"/>
      <c r="D1166" s="1"/>
      <c r="E1166" s="1"/>
      <c r="F1166" s="1"/>
      <c r="G1166" s="1"/>
      <c r="H1166" s="1"/>
    </row>
    <row r="1167" spans="3:8" x14ac:dyDescent="0.2">
      <c r="C1167" s="1"/>
      <c r="D1167" s="1"/>
      <c r="E1167" s="1"/>
      <c r="F1167" s="1"/>
      <c r="G1167" s="1"/>
      <c r="H1167" s="1"/>
    </row>
    <row r="1168" spans="3:8" x14ac:dyDescent="0.2">
      <c r="C1168" s="1"/>
      <c r="D1168" s="1"/>
      <c r="E1168" s="1"/>
      <c r="F1168" s="1"/>
      <c r="G1168" s="1"/>
      <c r="H1168" s="1"/>
    </row>
    <row r="1169" spans="3:8" x14ac:dyDescent="0.2">
      <c r="C1169" s="1"/>
      <c r="D1169" s="1"/>
      <c r="E1169" s="1"/>
      <c r="F1169" s="1"/>
      <c r="G1169" s="1"/>
      <c r="H1169" s="1"/>
    </row>
    <row r="1170" spans="3:8" x14ac:dyDescent="0.2">
      <c r="C1170" s="1"/>
      <c r="D1170" s="1"/>
      <c r="E1170" s="1"/>
      <c r="F1170" s="1"/>
      <c r="G1170" s="1"/>
      <c r="H1170" s="1"/>
    </row>
    <row r="1171" spans="3:8" x14ac:dyDescent="0.2">
      <c r="C1171" s="1"/>
      <c r="D1171" s="1"/>
      <c r="E1171" s="1"/>
      <c r="F1171" s="1"/>
      <c r="G1171" s="1"/>
      <c r="H1171" s="1"/>
    </row>
    <row r="1172" spans="3:8" x14ac:dyDescent="0.2">
      <c r="C1172" s="1"/>
      <c r="D1172" s="1"/>
      <c r="E1172" s="1"/>
      <c r="F1172" s="1"/>
      <c r="G1172" s="1"/>
      <c r="H1172" s="1"/>
    </row>
    <row r="1173" spans="3:8" x14ac:dyDescent="0.2">
      <c r="C1173" s="1"/>
      <c r="D1173" s="1"/>
      <c r="E1173" s="1"/>
      <c r="F1173" s="1"/>
      <c r="G1173" s="1"/>
      <c r="H1173" s="1"/>
    </row>
    <row r="1174" spans="3:8" x14ac:dyDescent="0.2">
      <c r="C1174" s="1"/>
      <c r="D1174" s="1"/>
      <c r="E1174" s="1"/>
      <c r="F1174" s="1"/>
      <c r="G1174" s="1"/>
      <c r="H1174" s="1"/>
    </row>
    <row r="1175" spans="3:8" x14ac:dyDescent="0.2">
      <c r="C1175" s="1"/>
      <c r="D1175" s="1"/>
      <c r="E1175" s="1"/>
      <c r="F1175" s="1"/>
      <c r="G1175" s="1"/>
      <c r="H1175" s="1"/>
    </row>
    <row r="1176" spans="3:8" x14ac:dyDescent="0.2">
      <c r="C1176" s="1"/>
      <c r="D1176" s="1"/>
      <c r="E1176" s="1"/>
      <c r="F1176" s="1"/>
      <c r="G1176" s="1"/>
      <c r="H1176" s="1"/>
    </row>
    <row r="1177" spans="3:8" x14ac:dyDescent="0.2">
      <c r="C1177" s="1"/>
      <c r="D1177" s="1"/>
      <c r="E1177" s="1"/>
      <c r="F1177" s="1"/>
      <c r="G1177" s="1"/>
      <c r="H1177" s="1"/>
    </row>
    <row r="1178" spans="3:8" x14ac:dyDescent="0.2">
      <c r="C1178" s="1"/>
      <c r="D1178" s="1"/>
      <c r="E1178" s="1"/>
      <c r="F1178" s="1"/>
      <c r="G1178" s="1"/>
      <c r="H1178" s="1"/>
    </row>
    <row r="1179" spans="3:8" x14ac:dyDescent="0.2">
      <c r="C1179" s="1"/>
      <c r="D1179" s="1"/>
      <c r="E1179" s="1"/>
      <c r="F1179" s="1"/>
      <c r="G1179" s="1"/>
      <c r="H1179" s="1"/>
    </row>
    <row r="1180" spans="3:8" x14ac:dyDescent="0.2">
      <c r="C1180" s="1"/>
      <c r="D1180" s="1"/>
      <c r="E1180" s="1"/>
      <c r="F1180" s="1"/>
      <c r="G1180" s="1"/>
      <c r="H1180" s="1"/>
    </row>
    <row r="1181" spans="3:8" x14ac:dyDescent="0.2">
      <c r="C1181" s="1"/>
      <c r="D1181" s="1"/>
      <c r="E1181" s="1"/>
      <c r="F1181" s="1"/>
      <c r="G1181" s="1"/>
      <c r="H1181" s="1"/>
    </row>
    <row r="1182" spans="3:8" x14ac:dyDescent="0.2">
      <c r="C1182" s="1"/>
      <c r="D1182" s="1"/>
      <c r="E1182" s="1"/>
      <c r="F1182" s="1"/>
      <c r="G1182" s="1"/>
      <c r="H1182" s="1"/>
    </row>
    <row r="1183" spans="3:8" x14ac:dyDescent="0.2">
      <c r="C1183" s="1"/>
      <c r="D1183" s="1"/>
      <c r="E1183" s="1"/>
      <c r="F1183" s="1"/>
      <c r="G1183" s="1"/>
      <c r="H1183" s="1"/>
    </row>
    <row r="1184" spans="3:8" x14ac:dyDescent="0.2">
      <c r="C1184" s="1"/>
      <c r="D1184" s="1"/>
      <c r="E1184" s="1"/>
      <c r="F1184" s="1"/>
      <c r="G1184" s="1"/>
      <c r="H1184" s="1"/>
    </row>
    <row r="1185" spans="3:8" x14ac:dyDescent="0.2">
      <c r="C1185" s="1"/>
      <c r="D1185" s="1"/>
      <c r="E1185" s="1"/>
      <c r="F1185" s="1"/>
      <c r="G1185" s="1"/>
      <c r="H1185" s="1"/>
    </row>
    <row r="1186" spans="3:8" x14ac:dyDescent="0.2">
      <c r="C1186" s="1"/>
      <c r="D1186" s="1"/>
      <c r="E1186" s="1"/>
      <c r="F1186" s="1"/>
      <c r="G1186" s="1"/>
      <c r="H1186" s="1"/>
    </row>
    <row r="1187" spans="3:8" x14ac:dyDescent="0.2">
      <c r="C1187" s="1"/>
      <c r="D1187" s="1"/>
      <c r="E1187" s="1"/>
      <c r="F1187" s="1"/>
      <c r="G1187" s="1"/>
      <c r="H1187" s="1"/>
    </row>
    <row r="1188" spans="3:8" x14ac:dyDescent="0.2">
      <c r="C1188" s="1"/>
      <c r="D1188" s="1"/>
      <c r="E1188" s="1"/>
      <c r="F1188" s="1"/>
      <c r="G1188" s="1"/>
      <c r="H1188" s="1"/>
    </row>
    <row r="1189" spans="3:8" x14ac:dyDescent="0.2">
      <c r="C1189" s="1"/>
      <c r="D1189" s="1"/>
      <c r="E1189" s="1"/>
      <c r="F1189" s="1"/>
      <c r="G1189" s="1"/>
      <c r="H1189" s="1"/>
    </row>
    <row r="1190" spans="3:8" x14ac:dyDescent="0.2">
      <c r="C1190" s="1"/>
      <c r="D1190" s="1"/>
      <c r="E1190" s="1"/>
      <c r="F1190" s="1"/>
      <c r="G1190" s="1"/>
      <c r="H1190" s="1"/>
    </row>
    <row r="1191" spans="3:8" x14ac:dyDescent="0.2">
      <c r="C1191" s="1"/>
      <c r="D1191" s="1"/>
      <c r="E1191" s="1"/>
      <c r="F1191" s="1"/>
      <c r="G1191" s="1"/>
      <c r="H1191" s="1"/>
    </row>
    <row r="1192" spans="3:8" x14ac:dyDescent="0.2">
      <c r="C1192" s="1"/>
      <c r="D1192" s="1"/>
      <c r="E1192" s="1"/>
      <c r="F1192" s="1"/>
      <c r="G1192" s="1"/>
      <c r="H1192" s="1"/>
    </row>
    <row r="1193" spans="3:8" x14ac:dyDescent="0.2">
      <c r="C1193" s="1"/>
      <c r="D1193" s="1"/>
      <c r="E1193" s="1"/>
      <c r="F1193" s="1"/>
      <c r="G1193" s="1"/>
      <c r="H1193" s="1"/>
    </row>
    <row r="1194" spans="3:8" x14ac:dyDescent="0.2">
      <c r="C1194" s="1"/>
      <c r="D1194" s="1"/>
      <c r="E1194" s="1"/>
      <c r="F1194" s="1"/>
      <c r="G1194" s="1"/>
      <c r="H1194" s="1"/>
    </row>
    <row r="1195" spans="3:8" x14ac:dyDescent="0.2">
      <c r="C1195" s="1"/>
      <c r="D1195" s="1"/>
      <c r="E1195" s="1"/>
      <c r="F1195" s="1"/>
      <c r="G1195" s="1"/>
      <c r="H1195" s="1"/>
    </row>
    <row r="1196" spans="3:8" x14ac:dyDescent="0.2">
      <c r="C1196" s="1"/>
      <c r="D1196" s="1"/>
      <c r="E1196" s="1"/>
      <c r="F1196" s="1"/>
      <c r="G1196" s="1"/>
      <c r="H1196" s="1"/>
    </row>
    <row r="1197" spans="3:8" x14ac:dyDescent="0.2">
      <c r="C1197" s="1"/>
      <c r="D1197" s="1"/>
      <c r="E1197" s="1"/>
      <c r="F1197" s="1"/>
      <c r="G1197" s="1"/>
      <c r="H1197" s="1"/>
    </row>
    <row r="1198" spans="3:8" x14ac:dyDescent="0.2">
      <c r="C1198" s="1"/>
      <c r="D1198" s="1"/>
      <c r="E1198" s="1"/>
      <c r="F1198" s="1"/>
      <c r="G1198" s="1"/>
      <c r="H1198" s="1"/>
    </row>
    <row r="1199" spans="3:8" x14ac:dyDescent="0.2">
      <c r="C1199" s="1"/>
      <c r="D1199" s="1"/>
      <c r="E1199" s="1"/>
      <c r="F1199" s="1"/>
      <c r="G1199" s="1"/>
      <c r="H1199" s="1"/>
    </row>
    <row r="1200" spans="3:8" x14ac:dyDescent="0.2">
      <c r="C1200" s="1"/>
      <c r="D1200" s="1"/>
      <c r="E1200" s="1"/>
      <c r="F1200" s="1"/>
      <c r="G1200" s="1"/>
      <c r="H1200" s="1"/>
    </row>
    <row r="1201" spans="3:8" x14ac:dyDescent="0.2">
      <c r="C1201" s="1"/>
      <c r="D1201" s="1"/>
      <c r="E1201" s="1"/>
      <c r="F1201" s="1"/>
      <c r="G1201" s="1"/>
      <c r="H1201" s="1"/>
    </row>
    <row r="1202" spans="3:8" x14ac:dyDescent="0.2">
      <c r="C1202" s="1"/>
      <c r="D1202" s="1"/>
      <c r="E1202" s="1"/>
      <c r="F1202" s="1"/>
      <c r="G1202" s="1"/>
      <c r="H1202" s="1"/>
    </row>
    <row r="1203" spans="3:8" x14ac:dyDescent="0.2">
      <c r="C1203" s="1"/>
      <c r="D1203" s="1"/>
      <c r="E1203" s="1"/>
      <c r="F1203" s="1"/>
      <c r="G1203" s="1"/>
      <c r="H1203" s="1"/>
    </row>
    <row r="1204" spans="3:8" x14ac:dyDescent="0.2">
      <c r="C1204" s="1"/>
      <c r="D1204" s="1"/>
      <c r="E1204" s="1"/>
      <c r="F1204" s="1"/>
      <c r="G1204" s="1"/>
      <c r="H1204" s="1"/>
    </row>
    <row r="1205" spans="3:8" x14ac:dyDescent="0.2">
      <c r="C1205" s="1"/>
      <c r="D1205" s="1"/>
      <c r="E1205" s="1"/>
      <c r="F1205" s="1"/>
      <c r="G1205" s="1"/>
      <c r="H1205" s="1"/>
    </row>
    <row r="1206" spans="3:8" x14ac:dyDescent="0.2">
      <c r="C1206" s="1"/>
      <c r="D1206" s="1"/>
      <c r="E1206" s="1"/>
      <c r="F1206" s="1"/>
      <c r="G1206" s="1"/>
      <c r="H1206" s="1"/>
    </row>
    <row r="1207" spans="3:8" x14ac:dyDescent="0.2">
      <c r="C1207" s="1"/>
      <c r="D1207" s="1"/>
      <c r="E1207" s="1"/>
      <c r="F1207" s="1"/>
      <c r="G1207" s="1"/>
      <c r="H1207" s="1"/>
    </row>
    <row r="1208" spans="3:8" x14ac:dyDescent="0.2">
      <c r="C1208" s="1"/>
      <c r="D1208" s="1"/>
      <c r="E1208" s="1"/>
      <c r="F1208" s="1"/>
      <c r="G1208" s="1"/>
      <c r="H1208" s="1"/>
    </row>
    <row r="1209" spans="3:8" x14ac:dyDescent="0.2">
      <c r="C1209" s="1"/>
      <c r="D1209" s="1"/>
      <c r="E1209" s="1"/>
      <c r="F1209" s="1"/>
      <c r="G1209" s="1"/>
      <c r="H1209" s="1"/>
    </row>
    <row r="1210" spans="3:8" x14ac:dyDescent="0.2">
      <c r="C1210" s="1"/>
      <c r="D1210" s="1"/>
      <c r="E1210" s="1"/>
      <c r="F1210" s="1"/>
      <c r="G1210" s="1"/>
      <c r="H1210" s="1"/>
    </row>
    <row r="1211" spans="3:8" x14ac:dyDescent="0.2">
      <c r="C1211" s="1"/>
      <c r="D1211" s="1"/>
      <c r="E1211" s="1"/>
      <c r="F1211" s="1"/>
      <c r="G1211" s="1"/>
      <c r="H1211" s="1"/>
    </row>
    <row r="1212" spans="3:8" x14ac:dyDescent="0.2">
      <c r="C1212" s="1"/>
      <c r="D1212" s="1"/>
      <c r="E1212" s="1"/>
      <c r="F1212" s="1"/>
      <c r="G1212" s="1"/>
      <c r="H1212" s="1"/>
    </row>
    <row r="1213" spans="3:8" x14ac:dyDescent="0.2">
      <c r="C1213" s="1"/>
      <c r="D1213" s="1"/>
      <c r="E1213" s="1"/>
      <c r="F1213" s="1"/>
      <c r="G1213" s="1"/>
      <c r="H1213" s="1"/>
    </row>
    <row r="1214" spans="3:8" x14ac:dyDescent="0.2">
      <c r="C1214" s="1"/>
      <c r="D1214" s="1"/>
      <c r="E1214" s="1"/>
      <c r="F1214" s="1"/>
      <c r="G1214" s="1"/>
      <c r="H1214" s="1"/>
    </row>
    <row r="1215" spans="3:8" x14ac:dyDescent="0.2">
      <c r="C1215" s="1"/>
      <c r="D1215" s="1"/>
      <c r="E1215" s="1"/>
      <c r="F1215" s="1"/>
      <c r="G1215" s="1"/>
      <c r="H1215" s="1"/>
    </row>
    <row r="1216" spans="3:8" x14ac:dyDescent="0.2">
      <c r="C1216" s="1"/>
      <c r="D1216" s="1"/>
      <c r="E1216" s="1"/>
      <c r="F1216" s="1"/>
      <c r="G1216" s="1"/>
      <c r="H1216" s="1"/>
    </row>
    <row r="1217" spans="3:8" x14ac:dyDescent="0.2">
      <c r="C1217" s="1"/>
      <c r="D1217" s="1"/>
      <c r="E1217" s="1"/>
      <c r="F1217" s="1"/>
      <c r="G1217" s="1"/>
      <c r="H1217" s="1"/>
    </row>
    <row r="1218" spans="3:8" x14ac:dyDescent="0.2">
      <c r="C1218" s="1"/>
      <c r="D1218" s="1"/>
      <c r="E1218" s="1"/>
      <c r="F1218" s="1"/>
      <c r="G1218" s="1"/>
      <c r="H1218" s="1"/>
    </row>
    <row r="1219" spans="3:8" x14ac:dyDescent="0.2">
      <c r="C1219" s="1"/>
      <c r="D1219" s="1"/>
      <c r="E1219" s="1"/>
      <c r="F1219" s="1"/>
      <c r="G1219" s="1"/>
      <c r="H1219" s="1"/>
    </row>
    <row r="1220" spans="3:8" x14ac:dyDescent="0.2">
      <c r="C1220" s="1"/>
      <c r="D1220" s="1"/>
      <c r="E1220" s="1"/>
      <c r="F1220" s="1"/>
      <c r="G1220" s="1"/>
      <c r="H1220" s="1"/>
    </row>
    <row r="1221" spans="3:8" x14ac:dyDescent="0.2">
      <c r="C1221" s="1"/>
      <c r="D1221" s="1"/>
      <c r="E1221" s="1"/>
      <c r="F1221" s="1"/>
      <c r="G1221" s="1"/>
      <c r="H1221" s="1"/>
    </row>
    <row r="1222" spans="3:8" x14ac:dyDescent="0.2">
      <c r="C1222" s="1"/>
      <c r="D1222" s="1"/>
      <c r="E1222" s="1"/>
      <c r="F1222" s="1"/>
      <c r="G1222" s="1"/>
      <c r="H1222" s="1"/>
    </row>
    <row r="1223" spans="3:8" x14ac:dyDescent="0.2">
      <c r="C1223" s="1"/>
      <c r="D1223" s="1"/>
      <c r="E1223" s="1"/>
      <c r="F1223" s="1"/>
      <c r="G1223" s="1"/>
      <c r="H1223" s="1"/>
    </row>
    <row r="1224" spans="3:8" x14ac:dyDescent="0.2">
      <c r="C1224" s="1"/>
      <c r="D1224" s="1"/>
      <c r="E1224" s="1"/>
      <c r="F1224" s="1"/>
      <c r="G1224" s="1"/>
      <c r="H1224" s="1"/>
    </row>
    <row r="1225" spans="3:8" x14ac:dyDescent="0.2">
      <c r="C1225" s="1"/>
      <c r="D1225" s="1"/>
      <c r="E1225" s="1"/>
      <c r="F1225" s="1"/>
      <c r="G1225" s="1"/>
      <c r="H1225" s="1"/>
    </row>
    <row r="1226" spans="3:8" x14ac:dyDescent="0.2">
      <c r="C1226" s="1"/>
      <c r="D1226" s="1"/>
      <c r="E1226" s="1"/>
      <c r="F1226" s="1"/>
      <c r="G1226" s="1"/>
      <c r="H1226" s="1"/>
    </row>
    <row r="1227" spans="3:8" x14ac:dyDescent="0.2">
      <c r="C1227" s="1"/>
      <c r="D1227" s="1"/>
      <c r="E1227" s="1"/>
      <c r="F1227" s="1"/>
      <c r="G1227" s="1"/>
      <c r="H1227" s="1"/>
    </row>
    <row r="1228" spans="3:8" x14ac:dyDescent="0.2">
      <c r="C1228" s="1"/>
      <c r="D1228" s="1"/>
      <c r="E1228" s="1"/>
      <c r="F1228" s="1"/>
      <c r="G1228" s="1"/>
      <c r="H1228" s="1"/>
    </row>
    <row r="1229" spans="3:8" x14ac:dyDescent="0.2">
      <c r="C1229" s="1"/>
      <c r="D1229" s="1"/>
      <c r="E1229" s="1"/>
      <c r="F1229" s="1"/>
      <c r="G1229" s="1"/>
      <c r="H1229" s="1"/>
    </row>
    <row r="1230" spans="3:8" x14ac:dyDescent="0.2">
      <c r="C1230" s="1"/>
      <c r="D1230" s="1"/>
      <c r="E1230" s="1"/>
      <c r="F1230" s="1"/>
      <c r="G1230" s="1"/>
      <c r="H1230" s="1"/>
    </row>
    <row r="1231" spans="3:8" x14ac:dyDescent="0.2">
      <c r="C1231" s="1"/>
      <c r="D1231" s="1"/>
      <c r="E1231" s="1"/>
      <c r="F1231" s="1"/>
      <c r="G1231" s="1"/>
      <c r="H1231" s="1"/>
    </row>
    <row r="1232" spans="3:8" x14ac:dyDescent="0.2">
      <c r="C1232" s="1"/>
      <c r="D1232" s="1"/>
      <c r="E1232" s="1"/>
      <c r="F1232" s="1"/>
      <c r="G1232" s="1"/>
      <c r="H1232" s="1"/>
    </row>
    <row r="1233" spans="3:8" x14ac:dyDescent="0.2">
      <c r="C1233" s="1"/>
      <c r="D1233" s="1"/>
      <c r="E1233" s="1"/>
      <c r="F1233" s="1"/>
      <c r="G1233" s="1"/>
      <c r="H1233" s="1"/>
    </row>
    <row r="1234" spans="3:8" x14ac:dyDescent="0.2">
      <c r="C1234" s="1"/>
      <c r="D1234" s="1"/>
      <c r="E1234" s="1"/>
      <c r="F1234" s="1"/>
      <c r="G1234" s="1"/>
      <c r="H1234" s="1"/>
    </row>
    <row r="1235" spans="3:8" x14ac:dyDescent="0.2">
      <c r="C1235" s="1"/>
      <c r="D1235" s="1"/>
      <c r="E1235" s="1"/>
      <c r="F1235" s="1"/>
      <c r="G1235" s="1"/>
      <c r="H1235" s="1"/>
    </row>
    <row r="1236" spans="3:8" x14ac:dyDescent="0.2">
      <c r="C1236" s="1"/>
      <c r="D1236" s="1"/>
      <c r="E1236" s="1"/>
      <c r="F1236" s="1"/>
      <c r="G1236" s="1"/>
      <c r="H1236" s="1"/>
    </row>
    <row r="1237" spans="3:8" x14ac:dyDescent="0.2">
      <c r="C1237" s="1"/>
      <c r="D1237" s="1"/>
      <c r="E1237" s="1"/>
      <c r="F1237" s="1"/>
      <c r="G1237" s="1"/>
      <c r="H1237" s="1"/>
    </row>
    <row r="1238" spans="3:8" x14ac:dyDescent="0.2">
      <c r="C1238" s="1"/>
      <c r="D1238" s="1"/>
      <c r="E1238" s="1"/>
      <c r="F1238" s="1"/>
      <c r="G1238" s="1"/>
      <c r="H1238" s="1"/>
    </row>
    <row r="1239" spans="3:8" x14ac:dyDescent="0.2">
      <c r="C1239" s="1"/>
      <c r="D1239" s="1"/>
      <c r="E1239" s="1"/>
      <c r="F1239" s="1"/>
      <c r="G1239" s="1"/>
      <c r="H1239" s="1"/>
    </row>
    <row r="1240" spans="3:8" x14ac:dyDescent="0.2">
      <c r="C1240" s="1"/>
      <c r="D1240" s="1"/>
      <c r="E1240" s="1"/>
      <c r="F1240" s="1"/>
      <c r="G1240" s="1"/>
      <c r="H1240" s="1"/>
    </row>
    <row r="1241" spans="3:8" x14ac:dyDescent="0.2">
      <c r="C1241" s="1"/>
      <c r="D1241" s="1"/>
      <c r="E1241" s="1"/>
      <c r="F1241" s="1"/>
      <c r="G1241" s="1"/>
      <c r="H1241" s="1"/>
    </row>
    <row r="1242" spans="3:8" x14ac:dyDescent="0.2">
      <c r="C1242" s="1"/>
      <c r="D1242" s="1"/>
      <c r="E1242" s="1"/>
      <c r="F1242" s="1"/>
      <c r="G1242" s="1"/>
      <c r="H1242" s="1"/>
    </row>
    <row r="1243" spans="3:8" x14ac:dyDescent="0.2">
      <c r="C1243" s="1"/>
      <c r="D1243" s="1"/>
      <c r="E1243" s="1"/>
      <c r="F1243" s="1"/>
      <c r="G1243" s="1"/>
      <c r="H1243" s="1"/>
    </row>
    <row r="1244" spans="3:8" x14ac:dyDescent="0.2">
      <c r="C1244" s="1"/>
      <c r="D1244" s="1"/>
      <c r="E1244" s="1"/>
      <c r="F1244" s="1"/>
      <c r="G1244" s="1"/>
      <c r="H1244" s="1"/>
    </row>
    <row r="1245" spans="3:8" x14ac:dyDescent="0.2">
      <c r="C1245" s="1"/>
      <c r="D1245" s="1"/>
      <c r="E1245" s="1"/>
      <c r="F1245" s="1"/>
      <c r="G1245" s="1"/>
      <c r="H1245" s="1"/>
    </row>
    <row r="1246" spans="3:8" x14ac:dyDescent="0.2">
      <c r="C1246" s="1"/>
      <c r="D1246" s="1"/>
      <c r="E1246" s="1"/>
      <c r="F1246" s="1"/>
      <c r="G1246" s="1"/>
      <c r="H1246" s="1"/>
    </row>
    <row r="1247" spans="3:8" x14ac:dyDescent="0.2">
      <c r="C1247" s="1"/>
      <c r="D1247" s="1"/>
      <c r="E1247" s="1"/>
      <c r="F1247" s="1"/>
      <c r="G1247" s="1"/>
      <c r="H1247" s="1"/>
    </row>
    <row r="1248" spans="3:8" x14ac:dyDescent="0.2">
      <c r="C1248" s="1"/>
      <c r="D1248" s="1"/>
      <c r="E1248" s="1"/>
      <c r="F1248" s="1"/>
      <c r="G1248" s="1"/>
      <c r="H1248" s="1"/>
    </row>
    <row r="1249" spans="3:8" x14ac:dyDescent="0.2">
      <c r="C1249" s="1"/>
      <c r="D1249" s="1"/>
      <c r="E1249" s="1"/>
      <c r="F1249" s="1"/>
      <c r="G1249" s="1"/>
      <c r="H1249" s="1"/>
    </row>
    <row r="1250" spans="3:8" x14ac:dyDescent="0.2">
      <c r="C1250" s="1"/>
      <c r="D1250" s="1"/>
      <c r="E1250" s="1"/>
      <c r="F1250" s="1"/>
      <c r="G1250" s="1"/>
      <c r="H1250" s="1"/>
    </row>
    <row r="1251" spans="3:8" x14ac:dyDescent="0.2">
      <c r="C1251" s="1"/>
      <c r="D1251" s="1"/>
      <c r="E1251" s="1"/>
      <c r="F1251" s="1"/>
      <c r="G1251" s="1"/>
      <c r="H1251" s="1"/>
    </row>
    <row r="1252" spans="3:8" x14ac:dyDescent="0.2">
      <c r="C1252" s="1"/>
      <c r="D1252" s="1"/>
      <c r="E1252" s="1"/>
      <c r="F1252" s="1"/>
      <c r="G1252" s="1"/>
      <c r="H1252" s="1"/>
    </row>
    <row r="1253" spans="3:8" x14ac:dyDescent="0.2">
      <c r="C1253" s="1"/>
      <c r="D1253" s="1"/>
      <c r="E1253" s="1"/>
      <c r="F1253" s="1"/>
      <c r="G1253" s="1"/>
      <c r="H1253" s="1"/>
    </row>
    <row r="1254" spans="3:8" x14ac:dyDescent="0.2">
      <c r="C1254" s="1"/>
      <c r="D1254" s="1"/>
      <c r="E1254" s="1"/>
      <c r="F1254" s="1"/>
      <c r="G1254" s="1"/>
      <c r="H1254" s="1"/>
    </row>
    <row r="1255" spans="3:8" x14ac:dyDescent="0.2">
      <c r="C1255" s="1"/>
      <c r="D1255" s="1"/>
      <c r="E1255" s="1"/>
      <c r="F1255" s="1"/>
      <c r="G1255" s="1"/>
      <c r="H1255" s="1"/>
    </row>
    <row r="1256" spans="3:8" x14ac:dyDescent="0.2">
      <c r="C1256" s="1"/>
      <c r="D1256" s="1"/>
      <c r="E1256" s="1"/>
      <c r="F1256" s="1"/>
      <c r="G1256" s="1"/>
      <c r="H1256" s="1"/>
    </row>
    <row r="1257" spans="3:8" x14ac:dyDescent="0.2">
      <c r="C1257" s="1"/>
      <c r="D1257" s="1"/>
      <c r="E1257" s="1"/>
      <c r="F1257" s="1"/>
      <c r="G1257" s="1"/>
      <c r="H1257" s="1"/>
    </row>
    <row r="1258" spans="3:8" x14ac:dyDescent="0.2">
      <c r="C1258" s="1"/>
      <c r="D1258" s="1"/>
      <c r="E1258" s="1"/>
      <c r="F1258" s="1"/>
      <c r="G1258" s="1"/>
      <c r="H1258" s="1"/>
    </row>
    <row r="1259" spans="3:8" x14ac:dyDescent="0.2">
      <c r="C1259" s="1"/>
      <c r="D1259" s="1"/>
      <c r="E1259" s="1"/>
      <c r="F1259" s="1"/>
      <c r="G1259" s="1"/>
      <c r="H1259" s="1"/>
    </row>
    <row r="1260" spans="3:8" x14ac:dyDescent="0.2">
      <c r="C1260" s="1"/>
      <c r="D1260" s="1"/>
      <c r="E1260" s="1"/>
      <c r="F1260" s="1"/>
      <c r="G1260" s="1"/>
      <c r="H1260" s="1"/>
    </row>
    <row r="1261" spans="3:8" x14ac:dyDescent="0.2">
      <c r="C1261" s="1"/>
      <c r="D1261" s="1"/>
      <c r="E1261" s="1"/>
      <c r="F1261" s="1"/>
      <c r="G1261" s="1"/>
      <c r="H1261" s="1"/>
    </row>
    <row r="1262" spans="3:8" x14ac:dyDescent="0.2">
      <c r="C1262" s="1"/>
      <c r="D1262" s="1"/>
      <c r="E1262" s="1"/>
      <c r="F1262" s="1"/>
      <c r="G1262" s="1"/>
      <c r="H1262" s="1"/>
    </row>
    <row r="1263" spans="3:8" x14ac:dyDescent="0.2">
      <c r="C1263" s="1"/>
      <c r="D1263" s="1"/>
      <c r="E1263" s="1"/>
      <c r="F1263" s="1"/>
      <c r="G1263" s="1"/>
      <c r="H1263" s="1"/>
    </row>
    <row r="1264" spans="3:8" x14ac:dyDescent="0.2">
      <c r="C1264" s="1"/>
      <c r="D1264" s="1"/>
      <c r="E1264" s="1"/>
      <c r="F1264" s="1"/>
      <c r="G1264" s="1"/>
      <c r="H1264" s="1"/>
    </row>
    <row r="1265" spans="3:8" x14ac:dyDescent="0.2">
      <c r="C1265" s="1"/>
      <c r="D1265" s="1"/>
      <c r="E1265" s="1"/>
      <c r="F1265" s="1"/>
      <c r="G1265" s="1"/>
      <c r="H1265" s="1"/>
    </row>
    <row r="1266" spans="3:8" x14ac:dyDescent="0.2">
      <c r="C1266" s="1"/>
      <c r="D1266" s="1"/>
      <c r="E1266" s="1"/>
      <c r="F1266" s="1"/>
      <c r="G1266" s="1"/>
      <c r="H1266" s="1"/>
    </row>
    <row r="1267" spans="3:8" x14ac:dyDescent="0.2">
      <c r="C1267" s="1"/>
      <c r="D1267" s="1"/>
      <c r="E1267" s="1"/>
      <c r="F1267" s="1"/>
      <c r="G1267" s="1"/>
      <c r="H1267" s="1"/>
    </row>
    <row r="1268" spans="3:8" x14ac:dyDescent="0.2">
      <c r="C1268" s="1"/>
      <c r="D1268" s="1"/>
      <c r="E1268" s="1"/>
      <c r="F1268" s="1"/>
      <c r="G1268" s="1"/>
      <c r="H1268" s="1"/>
    </row>
    <row r="1269" spans="3:8" x14ac:dyDescent="0.2">
      <c r="C1269" s="1"/>
      <c r="D1269" s="1"/>
      <c r="E1269" s="1"/>
      <c r="F1269" s="1"/>
      <c r="G1269" s="1"/>
      <c r="H1269" s="1"/>
    </row>
    <row r="1270" spans="3:8" x14ac:dyDescent="0.2">
      <c r="C1270" s="1"/>
      <c r="D1270" s="1"/>
      <c r="E1270" s="1"/>
      <c r="F1270" s="1"/>
      <c r="G1270" s="1"/>
      <c r="H1270" s="1"/>
    </row>
    <row r="1271" spans="3:8" x14ac:dyDescent="0.2">
      <c r="C1271" s="1"/>
      <c r="D1271" s="1"/>
      <c r="E1271" s="1"/>
      <c r="F1271" s="1"/>
      <c r="G1271" s="1"/>
      <c r="H1271" s="1"/>
    </row>
    <row r="1272" spans="3:8" x14ac:dyDescent="0.2">
      <c r="C1272" s="1"/>
      <c r="D1272" s="1"/>
      <c r="E1272" s="1"/>
      <c r="F1272" s="1"/>
      <c r="G1272" s="1"/>
      <c r="H1272" s="1"/>
    </row>
    <row r="1273" spans="3:8" x14ac:dyDescent="0.2">
      <c r="C1273" s="1"/>
      <c r="D1273" s="1"/>
      <c r="E1273" s="1"/>
      <c r="F1273" s="1"/>
      <c r="G1273" s="1"/>
      <c r="H1273" s="1"/>
    </row>
    <row r="1274" spans="3:8" x14ac:dyDescent="0.2">
      <c r="C1274" s="1"/>
      <c r="D1274" s="1"/>
      <c r="E1274" s="1"/>
      <c r="F1274" s="1"/>
      <c r="G1274" s="1"/>
      <c r="H1274" s="1"/>
    </row>
    <row r="1275" spans="3:8" x14ac:dyDescent="0.2">
      <c r="C1275" s="1"/>
      <c r="D1275" s="1"/>
      <c r="E1275" s="1"/>
      <c r="F1275" s="1"/>
      <c r="G1275" s="1"/>
      <c r="H1275" s="1"/>
    </row>
    <row r="1276" spans="3:8" x14ac:dyDescent="0.2">
      <c r="C1276" s="1"/>
      <c r="D1276" s="1"/>
      <c r="E1276" s="1"/>
      <c r="F1276" s="1"/>
      <c r="G1276" s="1"/>
      <c r="H1276" s="1"/>
    </row>
    <row r="1277" spans="3:8" x14ac:dyDescent="0.2">
      <c r="C1277" s="1"/>
      <c r="D1277" s="1"/>
      <c r="E1277" s="1"/>
      <c r="F1277" s="1"/>
      <c r="G1277" s="1"/>
      <c r="H1277" s="1"/>
    </row>
    <row r="1278" spans="3:8" x14ac:dyDescent="0.2">
      <c r="C1278" s="1"/>
      <c r="D1278" s="1"/>
      <c r="E1278" s="1"/>
      <c r="F1278" s="1"/>
      <c r="G1278" s="1"/>
      <c r="H1278" s="1"/>
    </row>
    <row r="1279" spans="3:8" x14ac:dyDescent="0.2">
      <c r="C1279" s="1"/>
      <c r="D1279" s="1"/>
      <c r="E1279" s="1"/>
      <c r="F1279" s="1"/>
      <c r="G1279" s="1"/>
      <c r="H1279" s="1"/>
    </row>
    <row r="1280" spans="3:8" x14ac:dyDescent="0.2">
      <c r="C1280" s="1"/>
      <c r="D1280" s="1"/>
      <c r="E1280" s="1"/>
      <c r="F1280" s="1"/>
      <c r="G1280" s="1"/>
      <c r="H1280" s="1"/>
    </row>
    <row r="1281" spans="3:8" x14ac:dyDescent="0.2">
      <c r="C1281" s="1"/>
      <c r="D1281" s="1"/>
      <c r="E1281" s="1"/>
      <c r="F1281" s="1"/>
      <c r="G1281" s="1"/>
      <c r="H1281" s="1"/>
    </row>
    <row r="1282" spans="3:8" x14ac:dyDescent="0.2">
      <c r="C1282" s="1"/>
      <c r="D1282" s="1"/>
      <c r="E1282" s="1"/>
      <c r="F1282" s="1"/>
      <c r="G1282" s="1"/>
      <c r="H1282" s="1"/>
    </row>
    <row r="1283" spans="3:8" x14ac:dyDescent="0.2">
      <c r="C1283" s="1"/>
      <c r="D1283" s="1"/>
      <c r="E1283" s="1"/>
      <c r="F1283" s="1"/>
      <c r="G1283" s="1"/>
      <c r="H1283" s="1"/>
    </row>
    <row r="1284" spans="3:8" x14ac:dyDescent="0.2">
      <c r="C1284" s="1"/>
      <c r="D1284" s="1"/>
      <c r="E1284" s="1"/>
      <c r="F1284" s="1"/>
      <c r="G1284" s="1"/>
      <c r="H1284" s="1"/>
    </row>
    <row r="1285" spans="3:8" x14ac:dyDescent="0.2">
      <c r="C1285" s="1"/>
      <c r="D1285" s="1"/>
      <c r="E1285" s="1"/>
      <c r="F1285" s="1"/>
      <c r="G1285" s="1"/>
      <c r="H1285" s="1"/>
    </row>
    <row r="1286" spans="3:8" x14ac:dyDescent="0.2">
      <c r="C1286" s="1"/>
      <c r="D1286" s="1"/>
      <c r="E1286" s="1"/>
      <c r="F1286" s="1"/>
      <c r="G1286" s="1"/>
      <c r="H1286" s="1"/>
    </row>
    <row r="1287" spans="3:8" x14ac:dyDescent="0.2">
      <c r="C1287" s="1"/>
      <c r="D1287" s="1"/>
      <c r="E1287" s="1"/>
      <c r="F1287" s="1"/>
      <c r="G1287" s="1"/>
      <c r="H1287" s="1"/>
    </row>
    <row r="1288" spans="3:8" x14ac:dyDescent="0.2">
      <c r="C1288" s="1"/>
      <c r="D1288" s="1"/>
      <c r="E1288" s="1"/>
      <c r="F1288" s="1"/>
      <c r="G1288" s="1"/>
      <c r="H1288" s="1"/>
    </row>
    <row r="1289" spans="3:8" x14ac:dyDescent="0.2">
      <c r="C1289" s="1"/>
      <c r="D1289" s="1"/>
      <c r="E1289" s="1"/>
      <c r="F1289" s="1"/>
      <c r="G1289" s="1"/>
      <c r="H1289" s="1"/>
    </row>
    <row r="1290" spans="3:8" x14ac:dyDescent="0.2">
      <c r="C1290" s="1"/>
      <c r="D1290" s="1"/>
      <c r="E1290" s="1"/>
      <c r="F1290" s="1"/>
      <c r="G1290" s="1"/>
      <c r="H1290" s="1"/>
    </row>
    <row r="1291" spans="3:8" x14ac:dyDescent="0.2">
      <c r="C1291" s="1"/>
      <c r="D1291" s="1"/>
      <c r="E1291" s="1"/>
      <c r="F1291" s="1"/>
      <c r="G1291" s="1"/>
      <c r="H1291" s="1"/>
    </row>
    <row r="1292" spans="3:8" x14ac:dyDescent="0.2">
      <c r="C1292" s="1"/>
      <c r="D1292" s="1"/>
      <c r="E1292" s="1"/>
      <c r="F1292" s="1"/>
      <c r="G1292" s="1"/>
      <c r="H1292" s="1"/>
    </row>
    <row r="1293" spans="3:8" x14ac:dyDescent="0.2">
      <c r="C1293" s="1"/>
      <c r="D1293" s="1"/>
      <c r="E1293" s="1"/>
      <c r="F1293" s="1"/>
      <c r="G1293" s="1"/>
      <c r="H1293" s="1"/>
    </row>
    <row r="1294" spans="3:8" x14ac:dyDescent="0.2">
      <c r="C1294" s="1"/>
      <c r="D1294" s="1"/>
      <c r="E1294" s="1"/>
      <c r="F1294" s="1"/>
      <c r="G1294" s="1"/>
      <c r="H1294" s="1"/>
    </row>
    <row r="1295" spans="3:8" x14ac:dyDescent="0.2">
      <c r="C1295" s="1"/>
      <c r="D1295" s="1"/>
      <c r="E1295" s="1"/>
      <c r="F1295" s="1"/>
      <c r="G1295" s="1"/>
      <c r="H1295" s="1"/>
    </row>
    <row r="1296" spans="3:8" x14ac:dyDescent="0.2">
      <c r="C1296" s="1"/>
      <c r="D1296" s="1"/>
      <c r="E1296" s="1"/>
      <c r="F1296" s="1"/>
      <c r="G1296" s="1"/>
      <c r="H1296" s="1"/>
    </row>
    <row r="1297" spans="3:8" x14ac:dyDescent="0.2">
      <c r="C1297" s="1"/>
      <c r="D1297" s="1"/>
      <c r="E1297" s="1"/>
      <c r="F1297" s="1"/>
      <c r="G1297" s="1"/>
      <c r="H1297" s="1"/>
    </row>
    <row r="1298" spans="3:8" x14ac:dyDescent="0.2">
      <c r="C1298" s="1"/>
      <c r="D1298" s="1"/>
      <c r="E1298" s="1"/>
      <c r="F1298" s="1"/>
      <c r="G1298" s="1"/>
      <c r="H1298" s="1"/>
    </row>
    <row r="1299" spans="3:8" x14ac:dyDescent="0.2">
      <c r="C1299" s="1"/>
      <c r="D1299" s="1"/>
      <c r="E1299" s="1"/>
      <c r="F1299" s="1"/>
      <c r="G1299" s="1"/>
      <c r="H1299" s="1"/>
    </row>
    <row r="1300" spans="3:8" x14ac:dyDescent="0.2">
      <c r="C1300" s="1"/>
      <c r="D1300" s="1"/>
      <c r="E1300" s="1"/>
      <c r="F1300" s="1"/>
      <c r="G1300" s="1"/>
      <c r="H1300" s="1"/>
    </row>
    <row r="1301" spans="3:8" x14ac:dyDescent="0.2">
      <c r="C1301" s="1"/>
      <c r="D1301" s="1"/>
      <c r="E1301" s="1"/>
      <c r="F1301" s="1"/>
      <c r="G1301" s="1"/>
      <c r="H1301" s="1"/>
    </row>
    <row r="1302" spans="3:8" x14ac:dyDescent="0.2">
      <c r="C1302" s="1"/>
      <c r="D1302" s="1"/>
      <c r="E1302" s="1"/>
      <c r="F1302" s="1"/>
      <c r="G1302" s="1"/>
      <c r="H1302" s="1"/>
    </row>
    <row r="1303" spans="3:8" x14ac:dyDescent="0.2">
      <c r="C1303" s="1"/>
      <c r="D1303" s="1"/>
      <c r="E1303" s="1"/>
      <c r="F1303" s="1"/>
      <c r="G1303" s="1"/>
      <c r="H1303" s="1"/>
    </row>
    <row r="1304" spans="3:8" x14ac:dyDescent="0.2">
      <c r="C1304" s="1"/>
      <c r="D1304" s="1"/>
      <c r="E1304" s="1"/>
      <c r="F1304" s="1"/>
      <c r="G1304" s="1"/>
      <c r="H1304" s="1"/>
    </row>
    <row r="1305" spans="3:8" x14ac:dyDescent="0.2">
      <c r="C1305" s="1"/>
      <c r="D1305" s="1"/>
      <c r="E1305" s="1"/>
      <c r="F1305" s="1"/>
      <c r="G1305" s="1"/>
      <c r="H1305" s="1"/>
    </row>
    <row r="1306" spans="3:8" x14ac:dyDescent="0.2">
      <c r="C1306" s="1"/>
      <c r="D1306" s="1"/>
      <c r="E1306" s="1"/>
      <c r="F1306" s="1"/>
      <c r="G1306" s="1"/>
      <c r="H1306" s="1"/>
    </row>
    <row r="1307" spans="3:8" x14ac:dyDescent="0.2">
      <c r="C1307" s="1"/>
      <c r="D1307" s="1"/>
      <c r="E1307" s="1"/>
      <c r="F1307" s="1"/>
      <c r="G1307" s="1"/>
      <c r="H1307" s="1"/>
    </row>
    <row r="1308" spans="3:8" x14ac:dyDescent="0.2">
      <c r="C1308" s="1"/>
      <c r="D1308" s="1"/>
      <c r="E1308" s="1"/>
      <c r="F1308" s="1"/>
      <c r="G1308" s="1"/>
      <c r="H1308" s="1"/>
    </row>
    <row r="1309" spans="3:8" x14ac:dyDescent="0.2">
      <c r="C1309" s="1"/>
      <c r="D1309" s="1"/>
      <c r="E1309" s="1"/>
      <c r="F1309" s="1"/>
      <c r="G1309" s="1"/>
      <c r="H1309" s="1"/>
    </row>
    <row r="1310" spans="3:8" x14ac:dyDescent="0.2">
      <c r="C1310" s="1"/>
      <c r="D1310" s="1"/>
      <c r="E1310" s="1"/>
      <c r="F1310" s="1"/>
      <c r="G1310" s="1"/>
      <c r="H1310" s="1"/>
    </row>
    <row r="1311" spans="3:8" x14ac:dyDescent="0.2">
      <c r="C1311" s="1"/>
      <c r="D1311" s="1"/>
      <c r="E1311" s="1"/>
      <c r="F1311" s="1"/>
      <c r="G1311" s="1"/>
      <c r="H1311" s="1"/>
    </row>
    <row r="1312" spans="3:8" x14ac:dyDescent="0.2">
      <c r="C1312" s="1"/>
      <c r="D1312" s="1"/>
      <c r="E1312" s="1"/>
      <c r="F1312" s="1"/>
      <c r="G1312" s="1"/>
      <c r="H1312" s="1"/>
    </row>
    <row r="1313" spans="3:8" x14ac:dyDescent="0.2">
      <c r="C1313" s="1"/>
      <c r="D1313" s="1"/>
      <c r="E1313" s="1"/>
      <c r="F1313" s="1"/>
      <c r="G1313" s="1"/>
      <c r="H1313" s="1"/>
    </row>
    <row r="1314" spans="3:8" x14ac:dyDescent="0.2">
      <c r="C1314" s="1"/>
      <c r="D1314" s="1"/>
      <c r="E1314" s="1"/>
      <c r="F1314" s="1"/>
      <c r="G1314" s="1"/>
      <c r="H1314" s="1"/>
    </row>
    <row r="1315" spans="3:8" x14ac:dyDescent="0.2">
      <c r="C1315" s="1"/>
      <c r="D1315" s="1"/>
      <c r="E1315" s="1"/>
      <c r="F1315" s="1"/>
      <c r="G1315" s="1"/>
      <c r="H1315" s="1"/>
    </row>
    <row r="1316" spans="3:8" x14ac:dyDescent="0.2">
      <c r="C1316" s="1"/>
      <c r="D1316" s="1"/>
      <c r="E1316" s="1"/>
      <c r="F1316" s="1"/>
      <c r="G1316" s="1"/>
      <c r="H1316" s="1"/>
    </row>
    <row r="1317" spans="3:8" x14ac:dyDescent="0.2">
      <c r="C1317" s="1"/>
      <c r="D1317" s="1"/>
      <c r="E1317" s="1"/>
      <c r="F1317" s="1"/>
      <c r="G1317" s="1"/>
      <c r="H1317" s="1"/>
    </row>
    <row r="1318" spans="3:8" x14ac:dyDescent="0.2">
      <c r="C1318" s="1"/>
      <c r="D1318" s="1"/>
      <c r="E1318" s="1"/>
      <c r="F1318" s="1"/>
      <c r="G1318" s="1"/>
      <c r="H1318" s="1"/>
    </row>
    <row r="1319" spans="3:8" x14ac:dyDescent="0.2">
      <c r="C1319" s="1"/>
      <c r="D1319" s="1"/>
      <c r="E1319" s="1"/>
      <c r="F1319" s="1"/>
      <c r="G1319" s="1"/>
      <c r="H1319" s="1"/>
    </row>
    <row r="1320" spans="3:8" x14ac:dyDescent="0.2">
      <c r="C1320" s="1"/>
      <c r="D1320" s="1"/>
      <c r="E1320" s="1"/>
      <c r="F1320" s="1"/>
      <c r="G1320" s="1"/>
      <c r="H1320" s="1"/>
    </row>
    <row r="1321" spans="3:8" x14ac:dyDescent="0.2">
      <c r="C1321" s="1"/>
      <c r="D1321" s="1"/>
      <c r="E1321" s="1"/>
      <c r="F1321" s="1"/>
      <c r="G1321" s="1"/>
      <c r="H1321" s="1"/>
    </row>
    <row r="1322" spans="3:8" x14ac:dyDescent="0.2">
      <c r="C1322" s="1"/>
      <c r="D1322" s="1"/>
      <c r="E1322" s="1"/>
      <c r="F1322" s="1"/>
      <c r="G1322" s="1"/>
      <c r="H1322" s="1"/>
    </row>
    <row r="1323" spans="3:8" x14ac:dyDescent="0.2">
      <c r="C1323" s="1"/>
      <c r="D1323" s="1"/>
      <c r="E1323" s="1"/>
      <c r="F1323" s="1"/>
      <c r="G1323" s="1"/>
      <c r="H1323" s="1"/>
    </row>
    <row r="1324" spans="3:8" x14ac:dyDescent="0.2">
      <c r="C1324" s="1"/>
      <c r="D1324" s="1"/>
      <c r="E1324" s="1"/>
      <c r="F1324" s="1"/>
      <c r="G1324" s="1"/>
      <c r="H1324" s="1"/>
    </row>
    <row r="1325" spans="3:8" x14ac:dyDescent="0.2">
      <c r="C1325" s="1"/>
      <c r="D1325" s="1"/>
      <c r="E1325" s="1"/>
      <c r="F1325" s="1"/>
      <c r="G1325" s="1"/>
      <c r="H1325" s="1"/>
    </row>
    <row r="1326" spans="3:8" x14ac:dyDescent="0.2">
      <c r="C1326" s="1"/>
      <c r="D1326" s="1"/>
      <c r="E1326" s="1"/>
      <c r="F1326" s="1"/>
      <c r="G1326" s="1"/>
      <c r="H1326" s="1"/>
    </row>
    <row r="1327" spans="3:8" x14ac:dyDescent="0.2">
      <c r="C1327" s="1"/>
      <c r="D1327" s="1"/>
      <c r="E1327" s="1"/>
      <c r="F1327" s="1"/>
      <c r="G1327" s="1"/>
      <c r="H1327" s="1"/>
    </row>
    <row r="1328" spans="3:8" x14ac:dyDescent="0.2">
      <c r="C1328" s="1"/>
      <c r="D1328" s="1"/>
      <c r="E1328" s="1"/>
      <c r="F1328" s="1"/>
      <c r="G1328" s="1"/>
      <c r="H1328" s="1"/>
    </row>
    <row r="1329" spans="3:8" x14ac:dyDescent="0.2">
      <c r="C1329" s="1"/>
      <c r="D1329" s="1"/>
      <c r="E1329" s="1"/>
      <c r="F1329" s="1"/>
      <c r="G1329" s="1"/>
      <c r="H1329" s="1"/>
    </row>
    <row r="1330" spans="3:8" x14ac:dyDescent="0.2">
      <c r="C1330" s="1"/>
      <c r="D1330" s="1"/>
      <c r="E1330" s="1"/>
      <c r="F1330" s="1"/>
      <c r="G1330" s="1"/>
      <c r="H1330" s="1"/>
    </row>
    <row r="1331" spans="3:8" x14ac:dyDescent="0.2">
      <c r="C1331" s="1"/>
      <c r="D1331" s="1"/>
      <c r="E1331" s="1"/>
      <c r="F1331" s="1"/>
      <c r="G1331" s="1"/>
      <c r="H1331" s="1"/>
    </row>
    <row r="1332" spans="3:8" x14ac:dyDescent="0.2">
      <c r="C1332" s="1"/>
      <c r="D1332" s="1"/>
      <c r="E1332" s="1"/>
      <c r="F1332" s="1"/>
      <c r="G1332" s="1"/>
      <c r="H1332" s="1"/>
    </row>
    <row r="1333" spans="3:8" x14ac:dyDescent="0.2">
      <c r="C1333" s="1"/>
      <c r="D1333" s="1"/>
      <c r="E1333" s="1"/>
      <c r="F1333" s="1"/>
      <c r="G1333" s="1"/>
      <c r="H1333" s="1"/>
    </row>
    <row r="1334" spans="3:8" x14ac:dyDescent="0.2">
      <c r="C1334" s="1"/>
      <c r="D1334" s="1"/>
      <c r="E1334" s="1"/>
      <c r="F1334" s="1"/>
      <c r="G1334" s="1"/>
      <c r="H1334" s="1"/>
    </row>
    <row r="1335" spans="3:8" x14ac:dyDescent="0.2">
      <c r="C1335" s="1"/>
      <c r="D1335" s="1"/>
      <c r="E1335" s="1"/>
      <c r="F1335" s="1"/>
      <c r="G1335" s="1"/>
      <c r="H1335" s="1"/>
    </row>
    <row r="1336" spans="3:8" x14ac:dyDescent="0.2">
      <c r="C1336" s="1"/>
      <c r="D1336" s="1"/>
      <c r="E1336" s="1"/>
      <c r="F1336" s="1"/>
      <c r="G1336" s="1"/>
      <c r="H1336" s="1"/>
    </row>
    <row r="1337" spans="3:8" x14ac:dyDescent="0.2">
      <c r="C1337" s="1"/>
      <c r="D1337" s="1"/>
      <c r="E1337" s="1"/>
      <c r="F1337" s="1"/>
      <c r="G1337" s="1"/>
      <c r="H1337" s="1"/>
    </row>
    <row r="1338" spans="3:8" x14ac:dyDescent="0.2">
      <c r="C1338" s="1"/>
      <c r="D1338" s="1"/>
      <c r="E1338" s="1"/>
      <c r="F1338" s="1"/>
      <c r="G1338" s="1"/>
      <c r="H1338" s="1"/>
    </row>
    <row r="1339" spans="3:8" x14ac:dyDescent="0.2">
      <c r="C1339" s="1"/>
      <c r="D1339" s="1"/>
      <c r="E1339" s="1"/>
      <c r="F1339" s="1"/>
      <c r="G1339" s="1"/>
      <c r="H1339" s="1"/>
    </row>
    <row r="1340" spans="3:8" x14ac:dyDescent="0.2">
      <c r="C1340" s="1"/>
      <c r="D1340" s="1"/>
      <c r="E1340" s="1"/>
      <c r="F1340" s="1"/>
      <c r="G1340" s="1"/>
      <c r="H1340" s="1"/>
    </row>
    <row r="1341" spans="3:8" x14ac:dyDescent="0.2">
      <c r="C1341" s="1"/>
      <c r="D1341" s="1"/>
      <c r="E1341" s="1"/>
      <c r="F1341" s="1"/>
      <c r="G1341" s="1"/>
      <c r="H1341" s="1"/>
    </row>
    <row r="1342" spans="3:8" x14ac:dyDescent="0.2">
      <c r="C1342" s="1"/>
      <c r="D1342" s="1"/>
      <c r="E1342" s="1"/>
      <c r="F1342" s="1"/>
      <c r="G1342" s="1"/>
      <c r="H1342" s="1"/>
    </row>
    <row r="1343" spans="3:8" x14ac:dyDescent="0.2">
      <c r="C1343" s="1"/>
      <c r="D1343" s="1"/>
      <c r="E1343" s="1"/>
      <c r="F1343" s="1"/>
      <c r="G1343" s="1"/>
      <c r="H1343" s="1"/>
    </row>
    <row r="1344" spans="3:8" x14ac:dyDescent="0.2">
      <c r="C1344" s="1"/>
      <c r="D1344" s="1"/>
      <c r="E1344" s="1"/>
      <c r="F1344" s="1"/>
      <c r="G1344" s="1"/>
      <c r="H1344" s="1"/>
    </row>
    <row r="1345" spans="3:8" x14ac:dyDescent="0.2">
      <c r="C1345" s="1"/>
      <c r="D1345" s="1"/>
      <c r="E1345" s="1"/>
      <c r="F1345" s="1"/>
      <c r="G1345" s="1"/>
      <c r="H1345" s="1"/>
    </row>
    <row r="1346" spans="3:8" x14ac:dyDescent="0.2">
      <c r="C1346" s="1"/>
      <c r="D1346" s="1"/>
      <c r="E1346" s="1"/>
      <c r="F1346" s="1"/>
      <c r="G1346" s="1"/>
      <c r="H1346" s="1"/>
    </row>
    <row r="1347" spans="3:8" x14ac:dyDescent="0.2">
      <c r="C1347" s="1"/>
      <c r="D1347" s="1"/>
      <c r="E1347" s="1"/>
      <c r="F1347" s="1"/>
      <c r="G1347" s="1"/>
      <c r="H1347" s="1"/>
    </row>
    <row r="1348" spans="3:8" x14ac:dyDescent="0.2">
      <c r="C1348" s="1"/>
      <c r="D1348" s="1"/>
      <c r="E1348" s="1"/>
      <c r="F1348" s="1"/>
      <c r="G1348" s="1"/>
      <c r="H1348" s="1"/>
    </row>
    <row r="1349" spans="3:8" x14ac:dyDescent="0.2">
      <c r="C1349" s="1"/>
      <c r="D1349" s="1"/>
      <c r="E1349" s="1"/>
      <c r="F1349" s="1"/>
      <c r="G1349" s="1"/>
      <c r="H1349" s="1"/>
    </row>
    <row r="1350" spans="3:8" x14ac:dyDescent="0.2">
      <c r="C1350" s="1"/>
      <c r="D1350" s="1"/>
      <c r="E1350" s="1"/>
      <c r="F1350" s="1"/>
      <c r="G1350" s="1"/>
      <c r="H1350" s="1"/>
    </row>
    <row r="1351" spans="3:8" x14ac:dyDescent="0.2">
      <c r="C1351" s="1"/>
      <c r="D1351" s="1"/>
      <c r="E1351" s="1"/>
      <c r="F1351" s="1"/>
      <c r="G1351" s="1"/>
      <c r="H1351" s="1"/>
    </row>
    <row r="1352" spans="3:8" x14ac:dyDescent="0.2">
      <c r="C1352" s="1"/>
      <c r="D1352" s="1"/>
      <c r="E1352" s="1"/>
      <c r="F1352" s="1"/>
      <c r="G1352" s="1"/>
      <c r="H1352" s="1"/>
    </row>
    <row r="1353" spans="3:8" x14ac:dyDescent="0.2">
      <c r="C1353" s="1"/>
      <c r="D1353" s="1"/>
      <c r="E1353" s="1"/>
      <c r="F1353" s="1"/>
      <c r="G1353" s="1"/>
      <c r="H1353" s="1"/>
    </row>
    <row r="1354" spans="3:8" x14ac:dyDescent="0.2">
      <c r="C1354" s="1"/>
      <c r="D1354" s="1"/>
      <c r="E1354" s="1"/>
      <c r="F1354" s="1"/>
      <c r="G1354" s="1"/>
      <c r="H1354" s="1"/>
    </row>
    <row r="1355" spans="3:8" x14ac:dyDescent="0.2">
      <c r="C1355" s="1"/>
      <c r="D1355" s="1"/>
      <c r="E1355" s="1"/>
      <c r="F1355" s="1"/>
      <c r="G1355" s="1"/>
      <c r="H1355" s="1"/>
    </row>
    <row r="1356" spans="3:8" x14ac:dyDescent="0.2">
      <c r="C1356" s="1"/>
      <c r="D1356" s="1"/>
      <c r="E1356" s="1"/>
      <c r="F1356" s="1"/>
      <c r="G1356" s="1"/>
      <c r="H1356" s="1"/>
    </row>
    <row r="1357" spans="3:8" x14ac:dyDescent="0.2">
      <c r="C1357" s="1"/>
      <c r="D1357" s="1"/>
      <c r="E1357" s="1"/>
      <c r="F1357" s="1"/>
      <c r="G1357" s="1"/>
      <c r="H1357" s="1"/>
    </row>
    <row r="1358" spans="3:8" x14ac:dyDescent="0.2">
      <c r="C1358" s="1"/>
      <c r="D1358" s="1"/>
      <c r="E1358" s="1"/>
      <c r="F1358" s="1"/>
      <c r="G1358" s="1"/>
      <c r="H1358" s="1"/>
    </row>
    <row r="1359" spans="3:8" x14ac:dyDescent="0.2">
      <c r="C1359" s="1"/>
      <c r="D1359" s="1"/>
      <c r="E1359" s="1"/>
      <c r="F1359" s="1"/>
      <c r="G1359" s="1"/>
      <c r="H1359" s="1"/>
    </row>
    <row r="1360" spans="3:8" x14ac:dyDescent="0.2">
      <c r="C1360" s="1"/>
      <c r="D1360" s="1"/>
      <c r="E1360" s="1"/>
      <c r="F1360" s="1"/>
      <c r="G1360" s="1"/>
      <c r="H1360" s="1"/>
    </row>
    <row r="1361" spans="3:8" x14ac:dyDescent="0.2">
      <c r="C1361" s="1"/>
      <c r="D1361" s="1"/>
      <c r="E1361" s="1"/>
      <c r="F1361" s="1"/>
      <c r="G1361" s="1"/>
      <c r="H1361" s="1"/>
    </row>
    <row r="1362" spans="3:8" x14ac:dyDescent="0.2">
      <c r="C1362" s="1"/>
      <c r="D1362" s="1"/>
      <c r="E1362" s="1"/>
      <c r="F1362" s="1"/>
      <c r="G1362" s="1"/>
      <c r="H1362" s="1"/>
    </row>
    <row r="1363" spans="3:8" x14ac:dyDescent="0.2">
      <c r="C1363" s="1"/>
      <c r="D1363" s="1"/>
      <c r="E1363" s="1"/>
      <c r="F1363" s="1"/>
      <c r="G1363" s="1"/>
      <c r="H1363" s="1"/>
    </row>
    <row r="1364" spans="3:8" x14ac:dyDescent="0.2">
      <c r="C1364" s="1"/>
      <c r="D1364" s="1"/>
      <c r="E1364" s="1"/>
      <c r="F1364" s="1"/>
      <c r="G1364" s="1"/>
      <c r="H1364" s="1"/>
    </row>
    <row r="1365" spans="3:8" x14ac:dyDescent="0.2">
      <c r="C1365" s="1"/>
      <c r="D1365" s="1"/>
      <c r="E1365" s="1"/>
      <c r="F1365" s="1"/>
      <c r="G1365" s="1"/>
      <c r="H1365" s="1"/>
    </row>
    <row r="1366" spans="3:8" x14ac:dyDescent="0.2">
      <c r="C1366" s="1"/>
      <c r="D1366" s="1"/>
      <c r="E1366" s="1"/>
      <c r="F1366" s="1"/>
      <c r="G1366" s="1"/>
      <c r="H1366" s="1"/>
    </row>
    <row r="1367" spans="3:8" x14ac:dyDescent="0.2">
      <c r="C1367" s="1"/>
      <c r="D1367" s="1"/>
      <c r="E1367" s="1"/>
      <c r="F1367" s="1"/>
      <c r="G1367" s="1"/>
      <c r="H1367" s="1"/>
    </row>
    <row r="1368" spans="3:8" x14ac:dyDescent="0.2">
      <c r="C1368" s="1"/>
      <c r="D1368" s="1"/>
      <c r="E1368" s="1"/>
      <c r="F1368" s="1"/>
      <c r="G1368" s="1"/>
      <c r="H1368" s="1"/>
    </row>
    <row r="1369" spans="3:8" x14ac:dyDescent="0.2">
      <c r="C1369" s="1"/>
      <c r="D1369" s="1"/>
      <c r="E1369" s="1"/>
      <c r="F1369" s="1"/>
      <c r="G1369" s="1"/>
      <c r="H1369" s="1"/>
    </row>
    <row r="1370" spans="3:8" x14ac:dyDescent="0.2">
      <c r="C1370" s="1"/>
      <c r="D1370" s="1"/>
      <c r="E1370" s="1"/>
      <c r="F1370" s="1"/>
      <c r="G1370" s="1"/>
      <c r="H1370" s="1"/>
    </row>
    <row r="1371" spans="3:8" x14ac:dyDescent="0.2">
      <c r="C1371" s="1"/>
      <c r="D1371" s="1"/>
      <c r="E1371" s="1"/>
      <c r="F1371" s="1"/>
      <c r="G1371" s="1"/>
      <c r="H1371" s="1"/>
    </row>
    <row r="1372" spans="3:8" x14ac:dyDescent="0.2">
      <c r="C1372" s="1"/>
      <c r="D1372" s="1"/>
      <c r="E1372" s="1"/>
      <c r="F1372" s="1"/>
      <c r="G1372" s="1"/>
      <c r="H1372" s="1"/>
    </row>
    <row r="1373" spans="3:8" x14ac:dyDescent="0.2">
      <c r="C1373" s="1"/>
      <c r="D1373" s="1"/>
      <c r="E1373" s="1"/>
      <c r="F1373" s="1"/>
      <c r="G1373" s="1"/>
      <c r="H1373" s="1"/>
    </row>
    <row r="1374" spans="3:8" x14ac:dyDescent="0.2">
      <c r="C1374" s="1"/>
      <c r="D1374" s="1"/>
      <c r="E1374" s="1"/>
      <c r="F1374" s="1"/>
      <c r="G1374" s="1"/>
      <c r="H1374" s="1"/>
    </row>
    <row r="1375" spans="3:8" x14ac:dyDescent="0.2">
      <c r="C1375" s="1"/>
      <c r="D1375" s="1"/>
      <c r="E1375" s="1"/>
      <c r="F1375" s="1"/>
      <c r="G1375" s="1"/>
      <c r="H1375" s="1"/>
    </row>
    <row r="1376" spans="3:8" x14ac:dyDescent="0.2">
      <c r="C1376" s="1"/>
      <c r="D1376" s="1"/>
      <c r="E1376" s="1"/>
      <c r="F1376" s="1"/>
      <c r="G1376" s="1"/>
      <c r="H1376" s="1"/>
    </row>
    <row r="1377" spans="3:8" x14ac:dyDescent="0.2">
      <c r="C1377" s="1"/>
      <c r="D1377" s="1"/>
      <c r="E1377" s="1"/>
      <c r="F1377" s="1"/>
      <c r="G1377" s="1"/>
      <c r="H1377" s="1"/>
    </row>
    <row r="1378" spans="3:8" x14ac:dyDescent="0.2">
      <c r="C1378" s="1"/>
      <c r="D1378" s="1"/>
      <c r="E1378" s="1"/>
      <c r="F1378" s="1"/>
      <c r="G1378" s="1"/>
      <c r="H1378" s="1"/>
    </row>
    <row r="1379" spans="3:8" x14ac:dyDescent="0.2">
      <c r="C1379" s="1"/>
      <c r="D1379" s="1"/>
      <c r="E1379" s="1"/>
      <c r="F1379" s="1"/>
      <c r="G1379" s="1"/>
      <c r="H1379" s="1"/>
    </row>
    <row r="1380" spans="3:8" x14ac:dyDescent="0.2">
      <c r="C1380" s="1"/>
      <c r="D1380" s="1"/>
      <c r="E1380" s="1"/>
      <c r="F1380" s="1"/>
      <c r="G1380" s="1"/>
      <c r="H1380" s="1"/>
    </row>
    <row r="1381" spans="3:8" x14ac:dyDescent="0.2">
      <c r="C1381" s="1"/>
      <c r="D1381" s="1"/>
      <c r="E1381" s="1"/>
      <c r="F1381" s="1"/>
      <c r="G1381" s="1"/>
      <c r="H1381" s="1"/>
    </row>
    <row r="1382" spans="3:8" x14ac:dyDescent="0.2">
      <c r="C1382" s="1"/>
      <c r="D1382" s="1"/>
      <c r="E1382" s="1"/>
      <c r="F1382" s="1"/>
      <c r="G1382" s="1"/>
      <c r="H1382" s="1"/>
    </row>
    <row r="1383" spans="3:8" x14ac:dyDescent="0.2">
      <c r="C1383" s="1"/>
      <c r="D1383" s="1"/>
      <c r="E1383" s="1"/>
      <c r="F1383" s="1"/>
      <c r="G1383" s="1"/>
      <c r="H1383" s="1"/>
    </row>
    <row r="1384" spans="3:8" x14ac:dyDescent="0.2">
      <c r="C1384" s="1"/>
      <c r="D1384" s="1"/>
      <c r="E1384" s="1"/>
      <c r="F1384" s="1"/>
      <c r="G1384" s="1"/>
      <c r="H1384" s="1"/>
    </row>
    <row r="1385" spans="3:8" x14ac:dyDescent="0.2">
      <c r="C1385" s="1"/>
      <c r="D1385" s="1"/>
      <c r="E1385" s="1"/>
      <c r="F1385" s="1"/>
      <c r="G1385" s="1"/>
      <c r="H1385" s="1"/>
    </row>
    <row r="1386" spans="3:8" x14ac:dyDescent="0.2">
      <c r="C1386" s="1"/>
      <c r="D1386" s="1"/>
      <c r="E1386" s="1"/>
      <c r="F1386" s="1"/>
      <c r="G1386" s="1"/>
      <c r="H1386" s="1"/>
    </row>
    <row r="1387" spans="3:8" x14ac:dyDescent="0.2">
      <c r="C1387" s="1"/>
      <c r="D1387" s="1"/>
      <c r="E1387" s="1"/>
      <c r="F1387" s="1"/>
      <c r="G1387" s="1"/>
      <c r="H1387" s="1"/>
    </row>
    <row r="1388" spans="3:8" x14ac:dyDescent="0.2">
      <c r="C1388" s="1"/>
      <c r="D1388" s="1"/>
      <c r="E1388" s="1"/>
      <c r="F1388" s="1"/>
      <c r="G1388" s="1"/>
      <c r="H1388" s="1"/>
    </row>
    <row r="1389" spans="3:8" x14ac:dyDescent="0.2">
      <c r="C1389" s="1"/>
      <c r="D1389" s="1"/>
      <c r="E1389" s="1"/>
      <c r="F1389" s="1"/>
      <c r="G1389" s="1"/>
      <c r="H1389" s="1"/>
    </row>
    <row r="1390" spans="3:8" x14ac:dyDescent="0.2">
      <c r="C1390" s="1"/>
      <c r="D1390" s="1"/>
      <c r="E1390" s="1"/>
      <c r="F1390" s="1"/>
      <c r="G1390" s="1"/>
      <c r="H1390" s="1"/>
    </row>
    <row r="1391" spans="3:8" x14ac:dyDescent="0.2">
      <c r="C1391" s="1"/>
      <c r="D1391" s="1"/>
      <c r="E1391" s="1"/>
      <c r="F1391" s="1"/>
      <c r="G1391" s="1"/>
      <c r="H1391" s="1"/>
    </row>
    <row r="1392" spans="3:8" x14ac:dyDescent="0.2">
      <c r="C1392" s="1"/>
      <c r="D1392" s="1"/>
      <c r="E1392" s="1"/>
      <c r="F1392" s="1"/>
      <c r="G1392" s="1"/>
      <c r="H1392" s="1"/>
    </row>
    <row r="1393" spans="3:8" x14ac:dyDescent="0.2">
      <c r="C1393" s="1"/>
      <c r="D1393" s="1"/>
      <c r="E1393" s="1"/>
      <c r="F1393" s="1"/>
      <c r="G1393" s="1"/>
      <c r="H1393" s="1"/>
    </row>
    <row r="1394" spans="3:8" x14ac:dyDescent="0.2">
      <c r="C1394" s="1"/>
      <c r="D1394" s="1"/>
      <c r="E1394" s="1"/>
      <c r="F1394" s="1"/>
      <c r="G1394" s="1"/>
      <c r="H1394" s="1"/>
    </row>
    <row r="1395" spans="3:8" x14ac:dyDescent="0.2">
      <c r="C1395" s="1"/>
      <c r="D1395" s="1"/>
      <c r="E1395" s="1"/>
      <c r="F1395" s="1"/>
      <c r="G1395" s="1"/>
      <c r="H1395" s="1"/>
    </row>
    <row r="1396" spans="3:8" x14ac:dyDescent="0.2">
      <c r="C1396" s="1"/>
      <c r="D1396" s="1"/>
      <c r="E1396" s="1"/>
      <c r="F1396" s="1"/>
      <c r="G1396" s="1"/>
      <c r="H1396" s="1"/>
    </row>
    <row r="1397" spans="3:8" x14ac:dyDescent="0.2">
      <c r="C1397" s="1"/>
      <c r="D1397" s="1"/>
      <c r="E1397" s="1"/>
      <c r="F1397" s="1"/>
      <c r="G1397" s="1"/>
      <c r="H1397" s="1"/>
    </row>
    <row r="1398" spans="3:8" x14ac:dyDescent="0.2">
      <c r="C1398" s="1"/>
      <c r="D1398" s="1"/>
      <c r="E1398" s="1"/>
      <c r="F1398" s="1"/>
      <c r="G1398" s="1"/>
      <c r="H1398" s="1"/>
    </row>
    <row r="1399" spans="3:8" x14ac:dyDescent="0.2">
      <c r="C1399" s="1"/>
      <c r="D1399" s="1"/>
      <c r="E1399" s="1"/>
      <c r="F1399" s="1"/>
      <c r="G1399" s="1"/>
      <c r="H1399" s="1"/>
    </row>
    <row r="1400" spans="3:8" x14ac:dyDescent="0.2">
      <c r="C1400" s="1"/>
      <c r="D1400" s="1"/>
      <c r="E1400" s="1"/>
      <c r="F1400" s="1"/>
      <c r="G1400" s="1"/>
      <c r="H1400" s="1"/>
    </row>
    <row r="1401" spans="3:8" x14ac:dyDescent="0.2">
      <c r="C1401" s="1"/>
      <c r="D1401" s="1"/>
      <c r="E1401" s="1"/>
      <c r="F1401" s="1"/>
      <c r="G1401" s="1"/>
      <c r="H1401" s="1"/>
    </row>
    <row r="1402" spans="3:8" x14ac:dyDescent="0.2">
      <c r="C1402" s="1"/>
      <c r="D1402" s="1"/>
      <c r="E1402" s="1"/>
      <c r="F1402" s="1"/>
      <c r="G1402" s="1"/>
      <c r="H1402" s="1"/>
    </row>
    <row r="1403" spans="3:8" x14ac:dyDescent="0.2">
      <c r="C1403" s="1"/>
      <c r="D1403" s="1"/>
      <c r="E1403" s="1"/>
      <c r="F1403" s="1"/>
      <c r="G1403" s="1"/>
      <c r="H1403" s="1"/>
    </row>
    <row r="1404" spans="3:8" x14ac:dyDescent="0.2">
      <c r="C1404" s="1"/>
      <c r="D1404" s="1"/>
      <c r="E1404" s="1"/>
      <c r="F1404" s="1"/>
      <c r="G1404" s="1"/>
      <c r="H1404" s="1"/>
    </row>
    <row r="1405" spans="3:8" x14ac:dyDescent="0.2">
      <c r="C1405" s="1"/>
      <c r="D1405" s="1"/>
      <c r="E1405" s="1"/>
      <c r="F1405" s="1"/>
      <c r="G1405" s="1"/>
      <c r="H1405" s="1"/>
    </row>
    <row r="1406" spans="3:8" x14ac:dyDescent="0.2">
      <c r="C1406" s="1"/>
      <c r="D1406" s="1"/>
      <c r="E1406" s="1"/>
      <c r="F1406" s="1"/>
      <c r="G1406" s="1"/>
      <c r="H1406" s="1"/>
    </row>
    <row r="1407" spans="3:8" x14ac:dyDescent="0.2">
      <c r="C1407" s="1"/>
      <c r="D1407" s="1"/>
      <c r="E1407" s="1"/>
      <c r="F1407" s="1"/>
      <c r="G1407" s="1"/>
      <c r="H1407" s="1"/>
    </row>
    <row r="1408" spans="3:8" x14ac:dyDescent="0.2">
      <c r="C1408" s="1"/>
      <c r="D1408" s="1"/>
      <c r="E1408" s="1"/>
      <c r="F1408" s="1"/>
      <c r="G1408" s="1"/>
      <c r="H1408" s="1"/>
    </row>
    <row r="1409" spans="3:8" x14ac:dyDescent="0.2">
      <c r="C1409" s="1"/>
      <c r="D1409" s="1"/>
      <c r="E1409" s="1"/>
      <c r="F1409" s="1"/>
      <c r="G1409" s="1"/>
      <c r="H1409" s="1"/>
    </row>
    <row r="1410" spans="3:8" x14ac:dyDescent="0.2">
      <c r="C1410" s="1"/>
      <c r="D1410" s="1"/>
      <c r="E1410" s="1"/>
      <c r="F1410" s="1"/>
      <c r="G1410" s="1"/>
      <c r="H1410" s="1"/>
    </row>
    <row r="1411" spans="3:8" x14ac:dyDescent="0.2">
      <c r="C1411" s="1"/>
      <c r="D1411" s="1"/>
      <c r="E1411" s="1"/>
      <c r="F1411" s="1"/>
      <c r="G1411" s="1"/>
      <c r="H1411" s="1"/>
    </row>
    <row r="1412" spans="3:8" x14ac:dyDescent="0.2">
      <c r="C1412" s="1"/>
      <c r="D1412" s="1"/>
      <c r="E1412" s="1"/>
      <c r="F1412" s="1"/>
      <c r="G1412" s="1"/>
      <c r="H1412" s="1"/>
    </row>
    <row r="1413" spans="3:8" x14ac:dyDescent="0.2">
      <c r="C1413" s="1"/>
      <c r="D1413" s="1"/>
      <c r="E1413" s="1"/>
      <c r="F1413" s="1"/>
      <c r="G1413" s="1"/>
      <c r="H1413" s="1"/>
    </row>
    <row r="1414" spans="3:8" x14ac:dyDescent="0.2">
      <c r="C1414" s="1"/>
      <c r="D1414" s="1"/>
      <c r="E1414" s="1"/>
      <c r="F1414" s="1"/>
      <c r="G1414" s="1"/>
      <c r="H1414" s="1"/>
    </row>
    <row r="1415" spans="3:8" x14ac:dyDescent="0.2">
      <c r="C1415" s="1"/>
      <c r="D1415" s="1"/>
      <c r="E1415" s="1"/>
      <c r="F1415" s="1"/>
      <c r="G1415" s="1"/>
      <c r="H1415" s="1"/>
    </row>
    <row r="1416" spans="3:8" x14ac:dyDescent="0.2">
      <c r="C1416" s="1"/>
      <c r="D1416" s="1"/>
      <c r="E1416" s="1"/>
      <c r="F1416" s="1"/>
      <c r="G1416" s="1"/>
      <c r="H1416" s="1"/>
    </row>
    <row r="1417" spans="3:8" x14ac:dyDescent="0.2">
      <c r="C1417" s="1"/>
      <c r="D1417" s="1"/>
      <c r="E1417" s="1"/>
      <c r="F1417" s="1"/>
      <c r="G1417" s="1"/>
      <c r="H1417" s="1"/>
    </row>
    <row r="1418" spans="3:8" x14ac:dyDescent="0.2">
      <c r="C1418" s="1"/>
      <c r="D1418" s="1"/>
      <c r="E1418" s="1"/>
      <c r="F1418" s="1"/>
      <c r="G1418" s="1"/>
      <c r="H1418" s="1"/>
    </row>
    <row r="1419" spans="3:8" x14ac:dyDescent="0.2">
      <c r="C1419" s="1"/>
      <c r="D1419" s="1"/>
      <c r="E1419" s="1"/>
      <c r="F1419" s="1"/>
      <c r="G1419" s="1"/>
      <c r="H1419" s="1"/>
    </row>
    <row r="1420" spans="3:8" x14ac:dyDescent="0.2">
      <c r="C1420" s="1"/>
      <c r="D1420" s="1"/>
      <c r="E1420" s="1"/>
      <c r="F1420" s="1"/>
      <c r="G1420" s="1"/>
      <c r="H1420" s="1"/>
    </row>
    <row r="1421" spans="3:8" x14ac:dyDescent="0.2">
      <c r="C1421" s="1"/>
      <c r="D1421" s="1"/>
      <c r="E1421" s="1"/>
      <c r="F1421" s="1"/>
      <c r="G1421" s="1"/>
      <c r="H1421" s="1"/>
    </row>
    <row r="1422" spans="3:8" x14ac:dyDescent="0.2">
      <c r="C1422" s="1"/>
      <c r="D1422" s="1"/>
      <c r="E1422" s="1"/>
      <c r="F1422" s="1"/>
      <c r="G1422" s="1"/>
      <c r="H1422" s="1"/>
    </row>
    <row r="1423" spans="3:8" x14ac:dyDescent="0.2">
      <c r="C1423" s="1"/>
      <c r="D1423" s="1"/>
      <c r="E1423" s="1"/>
      <c r="F1423" s="1"/>
      <c r="G1423" s="1"/>
      <c r="H1423" s="1"/>
    </row>
    <row r="1424" spans="3:8" x14ac:dyDescent="0.2">
      <c r="C1424" s="1"/>
      <c r="D1424" s="1"/>
      <c r="E1424" s="1"/>
      <c r="F1424" s="1"/>
      <c r="G1424" s="1"/>
      <c r="H1424" s="1"/>
    </row>
    <row r="1425" spans="3:8" x14ac:dyDescent="0.2">
      <c r="C1425" s="1"/>
      <c r="D1425" s="1"/>
      <c r="E1425" s="1"/>
      <c r="F1425" s="1"/>
      <c r="G1425" s="1"/>
      <c r="H1425" s="1"/>
    </row>
    <row r="1426" spans="3:8" x14ac:dyDescent="0.2">
      <c r="C1426" s="1"/>
      <c r="D1426" s="1"/>
      <c r="E1426" s="1"/>
      <c r="F1426" s="1"/>
      <c r="G1426" s="1"/>
      <c r="H1426" s="1"/>
    </row>
    <row r="1427" spans="3:8" x14ac:dyDescent="0.2">
      <c r="C1427" s="1"/>
      <c r="D1427" s="1"/>
      <c r="E1427" s="1"/>
      <c r="F1427" s="1"/>
      <c r="G1427" s="1"/>
      <c r="H1427" s="1"/>
    </row>
    <row r="1428" spans="3:8" x14ac:dyDescent="0.2">
      <c r="C1428" s="1"/>
      <c r="D1428" s="1"/>
      <c r="E1428" s="1"/>
      <c r="F1428" s="1"/>
      <c r="G1428" s="1"/>
      <c r="H1428" s="1"/>
    </row>
    <row r="1429" spans="3:8" x14ac:dyDescent="0.2">
      <c r="C1429" s="1"/>
      <c r="D1429" s="1"/>
      <c r="E1429" s="1"/>
      <c r="F1429" s="1"/>
      <c r="G1429" s="1"/>
      <c r="H1429" s="1"/>
    </row>
    <row r="1430" spans="3:8" x14ac:dyDescent="0.2">
      <c r="C1430" s="1"/>
      <c r="D1430" s="1"/>
      <c r="E1430" s="1"/>
      <c r="F1430" s="1"/>
      <c r="G1430" s="1"/>
      <c r="H1430" s="1"/>
    </row>
    <row r="1431" spans="3:8" x14ac:dyDescent="0.2">
      <c r="C1431" s="1"/>
      <c r="D1431" s="1"/>
      <c r="E1431" s="1"/>
      <c r="F1431" s="1"/>
      <c r="G1431" s="1"/>
      <c r="H1431" s="1"/>
    </row>
    <row r="1432" spans="3:8" x14ac:dyDescent="0.2">
      <c r="C1432" s="1"/>
      <c r="D1432" s="1"/>
      <c r="E1432" s="1"/>
      <c r="F1432" s="1"/>
      <c r="G1432" s="1"/>
      <c r="H1432" s="1"/>
    </row>
    <row r="1433" spans="3:8" x14ac:dyDescent="0.2">
      <c r="C1433" s="1"/>
      <c r="D1433" s="1"/>
      <c r="E1433" s="1"/>
      <c r="F1433" s="1"/>
      <c r="G1433" s="1"/>
      <c r="H1433" s="1"/>
    </row>
    <row r="1434" spans="3:8" x14ac:dyDescent="0.2">
      <c r="C1434" s="1"/>
      <c r="D1434" s="1"/>
      <c r="E1434" s="1"/>
      <c r="F1434" s="1"/>
      <c r="G1434" s="1"/>
      <c r="H1434" s="1"/>
    </row>
    <row r="1435" spans="3:8" x14ac:dyDescent="0.2">
      <c r="C1435" s="1"/>
      <c r="D1435" s="1"/>
      <c r="E1435" s="1"/>
      <c r="F1435" s="1"/>
      <c r="G1435" s="1"/>
      <c r="H1435" s="1"/>
    </row>
    <row r="1436" spans="3:8" x14ac:dyDescent="0.2">
      <c r="C1436" s="1"/>
      <c r="D1436" s="1"/>
      <c r="E1436" s="1"/>
      <c r="F1436" s="1"/>
      <c r="G1436" s="1"/>
      <c r="H1436" s="1"/>
    </row>
    <row r="1437" spans="3:8" x14ac:dyDescent="0.2">
      <c r="C1437" s="1"/>
      <c r="D1437" s="1"/>
      <c r="E1437" s="1"/>
      <c r="F1437" s="1"/>
      <c r="G1437" s="1"/>
      <c r="H1437" s="1"/>
    </row>
    <row r="1438" spans="3:8" x14ac:dyDescent="0.2">
      <c r="C1438" s="1"/>
      <c r="D1438" s="1"/>
      <c r="E1438" s="1"/>
      <c r="F1438" s="1"/>
      <c r="G1438" s="1"/>
      <c r="H1438" s="1"/>
    </row>
    <row r="1439" spans="3:8" x14ac:dyDescent="0.2">
      <c r="C1439" s="1"/>
      <c r="D1439" s="1"/>
      <c r="E1439" s="1"/>
      <c r="F1439" s="1"/>
      <c r="G1439" s="1"/>
      <c r="H1439" s="1"/>
    </row>
    <row r="1440" spans="3:8" x14ac:dyDescent="0.2">
      <c r="C1440" s="1"/>
      <c r="D1440" s="1"/>
      <c r="E1440" s="1"/>
      <c r="F1440" s="1"/>
      <c r="G1440" s="1"/>
      <c r="H1440" s="1"/>
    </row>
    <row r="1441" spans="3:8" x14ac:dyDescent="0.2">
      <c r="C1441" s="1"/>
      <c r="D1441" s="1"/>
      <c r="E1441" s="1"/>
      <c r="F1441" s="1"/>
      <c r="G1441" s="1"/>
      <c r="H1441" s="1"/>
    </row>
    <row r="1442" spans="3:8" x14ac:dyDescent="0.2">
      <c r="C1442" s="1"/>
      <c r="D1442" s="1"/>
      <c r="E1442" s="1"/>
      <c r="F1442" s="1"/>
      <c r="G1442" s="1"/>
      <c r="H1442" s="1"/>
    </row>
    <row r="1443" spans="3:8" x14ac:dyDescent="0.2">
      <c r="C1443" s="1"/>
      <c r="D1443" s="1"/>
      <c r="E1443" s="1"/>
      <c r="F1443" s="1"/>
      <c r="G1443" s="1"/>
      <c r="H1443" s="1"/>
    </row>
    <row r="1444" spans="3:8" x14ac:dyDescent="0.2">
      <c r="C1444" s="1"/>
      <c r="D1444" s="1"/>
      <c r="E1444" s="1"/>
      <c r="F1444" s="1"/>
      <c r="G1444" s="1"/>
      <c r="H1444" s="1"/>
    </row>
    <row r="1445" spans="3:8" x14ac:dyDescent="0.2">
      <c r="C1445" s="1"/>
      <c r="D1445" s="1"/>
      <c r="E1445" s="1"/>
      <c r="F1445" s="1"/>
      <c r="G1445" s="1"/>
      <c r="H1445" s="1"/>
    </row>
    <row r="1446" spans="3:8" x14ac:dyDescent="0.2">
      <c r="C1446" s="1"/>
      <c r="D1446" s="1"/>
      <c r="E1446" s="1"/>
      <c r="F1446" s="1"/>
      <c r="G1446" s="1"/>
      <c r="H1446" s="1"/>
    </row>
    <row r="1447" spans="3:8" x14ac:dyDescent="0.2">
      <c r="C1447" s="1"/>
      <c r="D1447" s="1"/>
      <c r="E1447" s="1"/>
      <c r="F1447" s="1"/>
      <c r="G1447" s="1"/>
      <c r="H1447" s="1"/>
    </row>
    <row r="1448" spans="3:8" x14ac:dyDescent="0.2">
      <c r="C1448" s="1"/>
      <c r="D1448" s="1"/>
      <c r="E1448" s="1"/>
      <c r="F1448" s="1"/>
      <c r="G1448" s="1"/>
      <c r="H1448" s="1"/>
    </row>
    <row r="1449" spans="3:8" x14ac:dyDescent="0.2">
      <c r="C1449" s="1"/>
      <c r="D1449" s="1"/>
      <c r="E1449" s="1"/>
      <c r="F1449" s="1"/>
      <c r="G1449" s="1"/>
      <c r="H1449" s="1"/>
    </row>
    <row r="1450" spans="3:8" x14ac:dyDescent="0.2">
      <c r="C1450" s="1"/>
      <c r="D1450" s="1"/>
      <c r="E1450" s="1"/>
      <c r="F1450" s="1"/>
      <c r="G1450" s="1"/>
      <c r="H1450" s="1"/>
    </row>
    <row r="1451" spans="3:8" x14ac:dyDescent="0.2">
      <c r="C1451" s="1"/>
      <c r="D1451" s="1"/>
      <c r="E1451" s="1"/>
      <c r="F1451" s="1"/>
      <c r="G1451" s="1"/>
      <c r="H1451" s="1"/>
    </row>
    <row r="1452" spans="3:8" x14ac:dyDescent="0.2">
      <c r="C1452" s="1"/>
      <c r="D1452" s="1"/>
      <c r="E1452" s="1"/>
      <c r="F1452" s="1"/>
      <c r="G1452" s="1"/>
      <c r="H1452" s="1"/>
    </row>
    <row r="1453" spans="3:8" x14ac:dyDescent="0.2">
      <c r="C1453" s="1"/>
      <c r="D1453" s="1"/>
      <c r="E1453" s="1"/>
      <c r="F1453" s="1"/>
      <c r="G1453" s="1"/>
      <c r="H1453" s="1"/>
    </row>
    <row r="1454" spans="3:8" x14ac:dyDescent="0.2">
      <c r="C1454" s="1"/>
      <c r="D1454" s="1"/>
      <c r="E1454" s="1"/>
      <c r="F1454" s="1"/>
      <c r="G1454" s="1"/>
      <c r="H1454" s="1"/>
    </row>
    <row r="1455" spans="3:8" x14ac:dyDescent="0.2">
      <c r="C1455" s="1"/>
      <c r="D1455" s="1"/>
      <c r="E1455" s="1"/>
      <c r="F1455" s="1"/>
      <c r="G1455" s="1"/>
      <c r="H1455" s="1"/>
    </row>
    <row r="1456" spans="3:8" x14ac:dyDescent="0.2">
      <c r="C1456" s="1"/>
      <c r="D1456" s="1"/>
      <c r="E1456" s="1"/>
      <c r="F1456" s="1"/>
      <c r="G1456" s="1"/>
      <c r="H1456" s="1"/>
    </row>
    <row r="1457" spans="3:8" x14ac:dyDescent="0.2">
      <c r="C1457" s="1"/>
      <c r="D1457" s="1"/>
      <c r="E1457" s="1"/>
      <c r="F1457" s="1"/>
      <c r="G1457" s="1"/>
      <c r="H1457" s="1"/>
    </row>
    <row r="1458" spans="3:8" x14ac:dyDescent="0.2">
      <c r="C1458" s="1"/>
      <c r="D1458" s="1"/>
      <c r="E1458" s="1"/>
      <c r="F1458" s="1"/>
      <c r="G1458" s="1"/>
      <c r="H1458" s="1"/>
    </row>
    <row r="1459" spans="3:8" x14ac:dyDescent="0.2">
      <c r="C1459" s="1"/>
      <c r="D1459" s="1"/>
      <c r="E1459" s="1"/>
      <c r="F1459" s="1"/>
      <c r="G1459" s="1"/>
      <c r="H1459" s="1"/>
    </row>
    <row r="1460" spans="3:8" x14ac:dyDescent="0.2">
      <c r="C1460" s="1"/>
      <c r="D1460" s="1"/>
      <c r="E1460" s="1"/>
      <c r="F1460" s="1"/>
      <c r="G1460" s="1"/>
      <c r="H1460" s="1"/>
    </row>
    <row r="1461" spans="3:8" x14ac:dyDescent="0.2">
      <c r="C1461" s="1"/>
      <c r="D1461" s="1"/>
      <c r="E1461" s="1"/>
      <c r="F1461" s="1"/>
      <c r="G1461" s="1"/>
      <c r="H1461" s="1"/>
    </row>
    <row r="1462" spans="3:8" x14ac:dyDescent="0.2">
      <c r="C1462" s="1"/>
      <c r="D1462" s="1"/>
      <c r="E1462" s="1"/>
      <c r="F1462" s="1"/>
      <c r="G1462" s="1"/>
      <c r="H1462" s="1"/>
    </row>
    <row r="1463" spans="3:8" x14ac:dyDescent="0.2">
      <c r="C1463" s="1"/>
      <c r="D1463" s="1"/>
      <c r="E1463" s="1"/>
      <c r="F1463" s="1"/>
      <c r="G1463" s="1"/>
      <c r="H1463" s="1"/>
    </row>
    <row r="1464" spans="3:8" x14ac:dyDescent="0.2">
      <c r="C1464" s="1"/>
      <c r="D1464" s="1"/>
      <c r="E1464" s="1"/>
      <c r="F1464" s="1"/>
      <c r="G1464" s="1"/>
      <c r="H1464" s="1"/>
    </row>
    <row r="1465" spans="3:8" x14ac:dyDescent="0.2">
      <c r="C1465" s="1"/>
      <c r="D1465" s="1"/>
      <c r="E1465" s="1"/>
      <c r="F1465" s="1"/>
      <c r="G1465" s="1"/>
      <c r="H1465" s="1"/>
    </row>
    <row r="1466" spans="3:8" x14ac:dyDescent="0.2">
      <c r="C1466" s="1"/>
      <c r="D1466" s="1"/>
      <c r="E1466" s="1"/>
      <c r="F1466" s="1"/>
      <c r="G1466" s="1"/>
      <c r="H1466" s="1"/>
    </row>
    <row r="1467" spans="3:8" x14ac:dyDescent="0.2">
      <c r="C1467" s="1"/>
      <c r="D1467" s="1"/>
      <c r="E1467" s="1"/>
      <c r="F1467" s="1"/>
      <c r="G1467" s="1"/>
      <c r="H1467" s="1"/>
    </row>
    <row r="1468" spans="3:8" x14ac:dyDescent="0.2">
      <c r="C1468" s="1"/>
      <c r="D1468" s="1"/>
      <c r="E1468" s="1"/>
      <c r="F1468" s="1"/>
      <c r="G1468" s="1"/>
      <c r="H1468" s="1"/>
    </row>
    <row r="1469" spans="3:8" x14ac:dyDescent="0.2">
      <c r="C1469" s="1"/>
      <c r="D1469" s="1"/>
      <c r="E1469" s="1"/>
      <c r="F1469" s="1"/>
      <c r="G1469" s="1"/>
      <c r="H1469" s="1"/>
    </row>
    <row r="1470" spans="3:8" x14ac:dyDescent="0.2">
      <c r="C1470" s="1"/>
      <c r="D1470" s="1"/>
      <c r="E1470" s="1"/>
      <c r="F1470" s="1"/>
      <c r="G1470" s="1"/>
      <c r="H1470" s="1"/>
    </row>
    <row r="1471" spans="3:8" x14ac:dyDescent="0.2">
      <c r="C1471" s="1"/>
      <c r="D1471" s="1"/>
      <c r="E1471" s="1"/>
      <c r="F1471" s="1"/>
      <c r="G1471" s="1"/>
      <c r="H1471" s="1"/>
    </row>
    <row r="1472" spans="3:8" x14ac:dyDescent="0.2">
      <c r="C1472" s="1"/>
      <c r="D1472" s="1"/>
      <c r="E1472" s="1"/>
      <c r="F1472" s="1"/>
      <c r="G1472" s="1"/>
      <c r="H1472" s="1"/>
    </row>
    <row r="1473" spans="3:8" x14ac:dyDescent="0.2">
      <c r="C1473" s="1"/>
      <c r="D1473" s="1"/>
      <c r="E1473" s="1"/>
      <c r="F1473" s="1"/>
      <c r="G1473" s="1"/>
      <c r="H1473" s="1"/>
    </row>
    <row r="1474" spans="3:8" x14ac:dyDescent="0.2">
      <c r="C1474" s="1"/>
      <c r="D1474" s="1"/>
      <c r="E1474" s="1"/>
      <c r="F1474" s="1"/>
      <c r="G1474" s="1"/>
      <c r="H1474" s="1"/>
    </row>
    <row r="1475" spans="3:8" x14ac:dyDescent="0.2">
      <c r="C1475" s="1"/>
      <c r="D1475" s="1"/>
      <c r="E1475" s="1"/>
      <c r="F1475" s="1"/>
      <c r="G1475" s="1"/>
      <c r="H1475" s="1"/>
    </row>
    <row r="1476" spans="3:8" x14ac:dyDescent="0.2">
      <c r="C1476" s="1"/>
      <c r="D1476" s="1"/>
      <c r="E1476" s="1"/>
      <c r="F1476" s="1"/>
      <c r="G1476" s="1"/>
      <c r="H1476" s="1"/>
    </row>
    <row r="1477" spans="3:8" x14ac:dyDescent="0.2">
      <c r="C1477" s="1"/>
      <c r="D1477" s="1"/>
      <c r="E1477" s="1"/>
      <c r="F1477" s="1"/>
      <c r="G1477" s="1"/>
      <c r="H1477" s="1"/>
    </row>
    <row r="1478" spans="3:8" x14ac:dyDescent="0.2">
      <c r="C1478" s="1"/>
      <c r="D1478" s="1"/>
      <c r="E1478" s="1"/>
      <c r="F1478" s="1"/>
      <c r="G1478" s="1"/>
      <c r="H1478" s="1"/>
    </row>
    <row r="1479" spans="3:8" x14ac:dyDescent="0.2">
      <c r="C1479" s="1"/>
      <c r="D1479" s="1"/>
      <c r="E1479" s="1"/>
      <c r="F1479" s="1"/>
      <c r="G1479" s="1"/>
      <c r="H1479" s="1"/>
    </row>
    <row r="1480" spans="3:8" x14ac:dyDescent="0.2">
      <c r="C1480" s="1"/>
      <c r="D1480" s="1"/>
      <c r="E1480" s="1"/>
      <c r="F1480" s="1"/>
      <c r="G1480" s="1"/>
      <c r="H1480" s="1"/>
    </row>
    <row r="1481" spans="3:8" x14ac:dyDescent="0.2">
      <c r="C1481" s="1"/>
      <c r="D1481" s="1"/>
      <c r="E1481" s="1"/>
      <c r="F1481" s="1"/>
      <c r="G1481" s="1"/>
      <c r="H1481" s="1"/>
    </row>
    <row r="1482" spans="3:8" x14ac:dyDescent="0.2">
      <c r="C1482" s="1"/>
      <c r="D1482" s="1"/>
      <c r="E1482" s="1"/>
      <c r="F1482" s="1"/>
      <c r="G1482" s="1"/>
      <c r="H1482" s="1"/>
    </row>
    <row r="1483" spans="3:8" x14ac:dyDescent="0.2">
      <c r="C1483" s="1"/>
      <c r="D1483" s="1"/>
      <c r="E1483" s="1"/>
      <c r="F1483" s="1"/>
      <c r="G1483" s="1"/>
      <c r="H1483" s="1"/>
    </row>
    <row r="1484" spans="3:8" x14ac:dyDescent="0.2">
      <c r="C1484" s="1"/>
      <c r="D1484" s="1"/>
      <c r="E1484" s="1"/>
      <c r="F1484" s="1"/>
      <c r="G1484" s="1"/>
      <c r="H1484" s="1"/>
    </row>
    <row r="1485" spans="3:8" x14ac:dyDescent="0.2">
      <c r="C1485" s="1"/>
      <c r="D1485" s="1"/>
      <c r="E1485" s="1"/>
      <c r="F1485" s="1"/>
      <c r="G1485" s="1"/>
      <c r="H1485" s="1"/>
    </row>
    <row r="1486" spans="3:8" x14ac:dyDescent="0.2">
      <c r="C1486" s="1"/>
      <c r="D1486" s="1"/>
      <c r="E1486" s="1"/>
      <c r="F1486" s="1"/>
      <c r="G1486" s="1"/>
      <c r="H1486" s="1"/>
    </row>
    <row r="1487" spans="3:8" x14ac:dyDescent="0.2">
      <c r="C1487" s="1"/>
      <c r="D1487" s="1"/>
      <c r="E1487" s="1"/>
      <c r="F1487" s="1"/>
      <c r="G1487" s="1"/>
      <c r="H1487" s="1"/>
    </row>
    <row r="1488" spans="3:8" x14ac:dyDescent="0.2">
      <c r="C1488" s="1"/>
      <c r="D1488" s="1"/>
      <c r="E1488" s="1"/>
      <c r="F1488" s="1"/>
      <c r="G1488" s="1"/>
      <c r="H1488" s="1"/>
    </row>
    <row r="1489" spans="3:8" x14ac:dyDescent="0.2">
      <c r="C1489" s="1"/>
      <c r="D1489" s="1"/>
      <c r="E1489" s="1"/>
      <c r="F1489" s="1"/>
      <c r="G1489" s="1"/>
      <c r="H1489" s="1"/>
    </row>
    <row r="1490" spans="3:8" x14ac:dyDescent="0.2">
      <c r="C1490" s="1"/>
      <c r="D1490" s="1"/>
      <c r="E1490" s="1"/>
      <c r="F1490" s="1"/>
      <c r="G1490" s="1"/>
      <c r="H1490" s="1"/>
    </row>
    <row r="1491" spans="3:8" x14ac:dyDescent="0.2">
      <c r="C1491" s="1"/>
      <c r="D1491" s="1"/>
      <c r="E1491" s="1"/>
      <c r="F1491" s="1"/>
      <c r="G1491" s="1"/>
      <c r="H1491" s="1"/>
    </row>
    <row r="1492" spans="3:8" x14ac:dyDescent="0.2">
      <c r="C1492" s="1"/>
      <c r="D1492" s="1"/>
      <c r="E1492" s="1"/>
      <c r="F1492" s="1"/>
      <c r="G1492" s="1"/>
      <c r="H1492" s="1"/>
    </row>
    <row r="1493" spans="3:8" x14ac:dyDescent="0.2">
      <c r="C1493" s="1"/>
      <c r="D1493" s="1"/>
      <c r="E1493" s="1"/>
      <c r="F1493" s="1"/>
      <c r="G1493" s="1"/>
      <c r="H1493" s="1"/>
    </row>
    <row r="1494" spans="3:8" x14ac:dyDescent="0.2">
      <c r="C1494" s="1"/>
      <c r="D1494" s="1"/>
      <c r="E1494" s="1"/>
      <c r="F1494" s="1"/>
      <c r="G1494" s="1"/>
      <c r="H1494" s="1"/>
    </row>
    <row r="1495" spans="3:8" x14ac:dyDescent="0.2">
      <c r="C1495" s="1"/>
      <c r="D1495" s="1"/>
      <c r="E1495" s="1"/>
      <c r="F1495" s="1"/>
      <c r="G1495" s="1"/>
      <c r="H1495" s="1"/>
    </row>
    <row r="1496" spans="3:8" x14ac:dyDescent="0.2">
      <c r="C1496" s="1"/>
      <c r="D1496" s="1"/>
      <c r="E1496" s="1"/>
      <c r="F1496" s="1"/>
      <c r="G1496" s="1"/>
      <c r="H1496" s="1"/>
    </row>
    <row r="1497" spans="3:8" x14ac:dyDescent="0.2">
      <c r="C1497" s="1"/>
      <c r="D1497" s="1"/>
      <c r="E1497" s="1"/>
      <c r="F1497" s="1"/>
      <c r="G1497" s="1"/>
      <c r="H1497" s="1"/>
    </row>
    <row r="1498" spans="3:8" x14ac:dyDescent="0.2">
      <c r="C1498" s="1"/>
      <c r="D1498" s="1"/>
      <c r="E1498" s="1"/>
      <c r="F1498" s="1"/>
      <c r="G1498" s="1"/>
      <c r="H1498" s="1"/>
    </row>
    <row r="1499" spans="3:8" x14ac:dyDescent="0.2">
      <c r="C1499" s="1"/>
      <c r="D1499" s="1"/>
      <c r="E1499" s="1"/>
      <c r="F1499" s="1"/>
      <c r="G1499" s="1"/>
      <c r="H1499" s="1"/>
    </row>
    <row r="1500" spans="3:8" x14ac:dyDescent="0.2">
      <c r="C1500" s="1"/>
      <c r="D1500" s="1"/>
      <c r="E1500" s="1"/>
      <c r="F1500" s="1"/>
      <c r="G1500" s="1"/>
      <c r="H1500" s="1"/>
    </row>
    <row r="1501" spans="3:8" x14ac:dyDescent="0.2">
      <c r="C1501" s="1"/>
      <c r="D1501" s="1"/>
      <c r="E1501" s="1"/>
      <c r="F1501" s="1"/>
      <c r="G1501" s="1"/>
      <c r="H1501" s="1"/>
    </row>
    <row r="1502" spans="3:8" x14ac:dyDescent="0.2">
      <c r="C1502" s="1"/>
      <c r="D1502" s="1"/>
      <c r="E1502" s="1"/>
      <c r="F1502" s="1"/>
      <c r="G1502" s="1"/>
      <c r="H1502" s="1"/>
    </row>
    <row r="1503" spans="3:8" x14ac:dyDescent="0.2">
      <c r="C1503" s="1"/>
      <c r="D1503" s="1"/>
      <c r="E1503" s="1"/>
      <c r="F1503" s="1"/>
      <c r="G1503" s="1"/>
      <c r="H1503" s="1"/>
    </row>
    <row r="1504" spans="3:8" x14ac:dyDescent="0.2">
      <c r="C1504" s="1"/>
      <c r="D1504" s="1"/>
      <c r="E1504" s="1"/>
      <c r="F1504" s="1"/>
      <c r="G1504" s="1"/>
      <c r="H1504" s="1"/>
    </row>
    <row r="1505" spans="3:8" x14ac:dyDescent="0.2">
      <c r="C1505" s="1"/>
      <c r="D1505" s="1"/>
      <c r="E1505" s="1"/>
      <c r="F1505" s="1"/>
      <c r="G1505" s="1"/>
      <c r="H1505" s="1"/>
    </row>
    <row r="1506" spans="3:8" x14ac:dyDescent="0.2">
      <c r="C1506" s="1"/>
      <c r="D1506" s="1"/>
      <c r="E1506" s="1"/>
      <c r="F1506" s="1"/>
      <c r="G1506" s="1"/>
      <c r="H1506" s="1"/>
    </row>
    <row r="1507" spans="3:8" x14ac:dyDescent="0.2">
      <c r="C1507" s="1"/>
      <c r="D1507" s="1"/>
      <c r="E1507" s="1"/>
      <c r="F1507" s="1"/>
      <c r="G1507" s="1"/>
      <c r="H1507" s="1"/>
    </row>
    <row r="1508" spans="3:8" x14ac:dyDescent="0.2">
      <c r="C1508" s="1"/>
      <c r="D1508" s="1"/>
      <c r="E1508" s="1"/>
      <c r="F1508" s="1"/>
      <c r="G1508" s="1"/>
      <c r="H1508" s="1"/>
    </row>
    <row r="1509" spans="3:8" x14ac:dyDescent="0.2">
      <c r="C1509" s="1"/>
      <c r="D1509" s="1"/>
      <c r="E1509" s="1"/>
      <c r="F1509" s="1"/>
      <c r="G1509" s="1"/>
      <c r="H1509" s="1"/>
    </row>
    <row r="1510" spans="3:8" x14ac:dyDescent="0.2">
      <c r="C1510" s="1"/>
      <c r="D1510" s="1"/>
      <c r="E1510" s="1"/>
      <c r="F1510" s="1"/>
      <c r="G1510" s="1"/>
      <c r="H1510" s="1"/>
    </row>
    <row r="1511" spans="3:8" x14ac:dyDescent="0.2">
      <c r="C1511" s="1"/>
      <c r="D1511" s="1"/>
      <c r="E1511" s="1"/>
      <c r="F1511" s="1"/>
      <c r="G1511" s="1"/>
      <c r="H1511" s="1"/>
    </row>
    <row r="1512" spans="3:8" x14ac:dyDescent="0.2">
      <c r="C1512" s="1"/>
      <c r="D1512" s="1"/>
      <c r="E1512" s="1"/>
      <c r="F1512" s="1"/>
      <c r="G1512" s="1"/>
      <c r="H1512" s="1"/>
    </row>
    <row r="1513" spans="3:8" x14ac:dyDescent="0.2">
      <c r="C1513" s="1"/>
      <c r="D1513" s="1"/>
      <c r="E1513" s="1"/>
      <c r="F1513" s="1"/>
      <c r="G1513" s="1"/>
      <c r="H1513" s="1"/>
    </row>
    <row r="1514" spans="3:8" x14ac:dyDescent="0.2">
      <c r="C1514" s="1"/>
      <c r="D1514" s="1"/>
      <c r="E1514" s="1"/>
      <c r="F1514" s="1"/>
      <c r="G1514" s="1"/>
      <c r="H1514" s="1"/>
    </row>
    <row r="1515" spans="3:8" x14ac:dyDescent="0.2">
      <c r="C1515" s="1"/>
      <c r="D1515" s="1"/>
      <c r="E1515" s="1"/>
      <c r="F1515" s="1"/>
      <c r="G1515" s="1"/>
      <c r="H1515" s="1"/>
    </row>
    <row r="1516" spans="3:8" x14ac:dyDescent="0.2">
      <c r="C1516" s="1"/>
      <c r="D1516" s="1"/>
      <c r="E1516" s="1"/>
      <c r="F1516" s="1"/>
      <c r="G1516" s="1"/>
      <c r="H1516" s="1"/>
    </row>
    <row r="1517" spans="3:8" x14ac:dyDescent="0.2">
      <c r="C1517" s="1"/>
      <c r="D1517" s="1"/>
      <c r="E1517" s="1"/>
      <c r="F1517" s="1"/>
      <c r="G1517" s="1"/>
      <c r="H1517" s="1"/>
    </row>
    <row r="1518" spans="3:8" x14ac:dyDescent="0.2">
      <c r="C1518" s="1"/>
      <c r="D1518" s="1"/>
      <c r="E1518" s="1"/>
      <c r="F1518" s="1"/>
      <c r="G1518" s="1"/>
      <c r="H1518" s="1"/>
    </row>
    <row r="1519" spans="3:8" x14ac:dyDescent="0.2">
      <c r="C1519" s="1"/>
      <c r="D1519" s="1"/>
      <c r="E1519" s="1"/>
      <c r="F1519" s="1"/>
      <c r="G1519" s="1"/>
      <c r="H1519" s="1"/>
    </row>
    <row r="1520" spans="3:8" x14ac:dyDescent="0.2">
      <c r="C1520" s="1"/>
      <c r="D1520" s="1"/>
      <c r="E1520" s="1"/>
      <c r="F1520" s="1"/>
      <c r="G1520" s="1"/>
      <c r="H1520" s="1"/>
    </row>
    <row r="1521" spans="3:8" x14ac:dyDescent="0.2">
      <c r="C1521" s="1"/>
      <c r="D1521" s="1"/>
      <c r="E1521" s="1"/>
      <c r="F1521" s="1"/>
      <c r="G1521" s="1"/>
      <c r="H1521" s="1"/>
    </row>
    <row r="1522" spans="3:8" x14ac:dyDescent="0.2">
      <c r="C1522" s="1"/>
      <c r="D1522" s="1"/>
      <c r="E1522" s="1"/>
      <c r="F1522" s="1"/>
      <c r="G1522" s="1"/>
      <c r="H1522" s="1"/>
    </row>
    <row r="1523" spans="3:8" x14ac:dyDescent="0.2">
      <c r="C1523" s="1"/>
      <c r="D1523" s="1"/>
      <c r="E1523" s="1"/>
      <c r="F1523" s="1"/>
      <c r="G1523" s="1"/>
      <c r="H1523" s="1"/>
    </row>
    <row r="1524" spans="3:8" x14ac:dyDescent="0.2">
      <c r="C1524" s="1"/>
      <c r="D1524" s="1"/>
      <c r="E1524" s="1"/>
      <c r="F1524" s="1"/>
      <c r="G1524" s="1"/>
      <c r="H1524" s="1"/>
    </row>
    <row r="1525" spans="3:8" x14ac:dyDescent="0.2">
      <c r="C1525" s="1"/>
      <c r="D1525" s="1"/>
      <c r="E1525" s="1"/>
      <c r="F1525" s="1"/>
      <c r="G1525" s="1"/>
      <c r="H1525" s="1"/>
    </row>
    <row r="1526" spans="3:8" x14ac:dyDescent="0.2">
      <c r="C1526" s="1"/>
      <c r="D1526" s="1"/>
      <c r="E1526" s="1"/>
      <c r="F1526" s="1"/>
      <c r="G1526" s="1"/>
      <c r="H1526" s="1"/>
    </row>
    <row r="1527" spans="3:8" x14ac:dyDescent="0.2">
      <c r="C1527" s="1"/>
      <c r="D1527" s="1"/>
      <c r="E1527" s="1"/>
      <c r="F1527" s="1"/>
      <c r="G1527" s="1"/>
      <c r="H1527" s="1"/>
    </row>
    <row r="1528" spans="3:8" x14ac:dyDescent="0.2">
      <c r="C1528" s="1"/>
      <c r="D1528" s="1"/>
      <c r="E1528" s="1"/>
      <c r="F1528" s="1"/>
      <c r="G1528" s="1"/>
      <c r="H1528" s="1"/>
    </row>
    <row r="1529" spans="3:8" x14ac:dyDescent="0.2">
      <c r="C1529" s="1"/>
      <c r="D1529" s="1"/>
      <c r="E1529" s="1"/>
      <c r="F1529" s="1"/>
      <c r="G1529" s="1"/>
      <c r="H1529" s="1"/>
    </row>
    <row r="1530" spans="3:8" x14ac:dyDescent="0.2">
      <c r="C1530" s="1"/>
      <c r="D1530" s="1"/>
      <c r="E1530" s="1"/>
      <c r="F1530" s="1"/>
      <c r="G1530" s="1"/>
      <c r="H1530" s="1"/>
    </row>
    <row r="1531" spans="3:8" x14ac:dyDescent="0.2">
      <c r="C1531" s="1"/>
      <c r="D1531" s="1"/>
      <c r="E1531" s="1"/>
      <c r="F1531" s="1"/>
      <c r="G1531" s="1"/>
      <c r="H1531" s="1"/>
    </row>
    <row r="1532" spans="3:8" x14ac:dyDescent="0.2">
      <c r="C1532" s="1"/>
      <c r="D1532" s="1"/>
      <c r="E1532" s="1"/>
      <c r="F1532" s="1"/>
      <c r="G1532" s="1"/>
      <c r="H1532" s="1"/>
    </row>
    <row r="1533" spans="3:8" x14ac:dyDescent="0.2">
      <c r="C1533" s="1"/>
      <c r="D1533" s="1"/>
      <c r="E1533" s="1"/>
      <c r="F1533" s="1"/>
      <c r="G1533" s="1"/>
      <c r="H1533" s="1"/>
    </row>
    <row r="1534" spans="3:8" x14ac:dyDescent="0.2">
      <c r="C1534" s="1"/>
      <c r="D1534" s="1"/>
      <c r="E1534" s="1"/>
      <c r="F1534" s="1"/>
      <c r="G1534" s="1"/>
      <c r="H1534" s="1"/>
    </row>
    <row r="1535" spans="3:8" x14ac:dyDescent="0.2">
      <c r="C1535" s="1"/>
      <c r="D1535" s="1"/>
      <c r="E1535" s="1"/>
      <c r="F1535" s="1"/>
      <c r="G1535" s="1"/>
      <c r="H1535" s="1"/>
    </row>
    <row r="1536" spans="3:8" x14ac:dyDescent="0.2">
      <c r="C1536" s="1"/>
      <c r="D1536" s="1"/>
      <c r="E1536" s="1"/>
      <c r="F1536" s="1"/>
      <c r="G1536" s="1"/>
      <c r="H1536" s="1"/>
    </row>
    <row r="1537" spans="3:8" x14ac:dyDescent="0.2">
      <c r="C1537" s="1"/>
      <c r="D1537" s="1"/>
      <c r="E1537" s="1"/>
      <c r="F1537" s="1"/>
      <c r="G1537" s="1"/>
      <c r="H1537" s="1"/>
    </row>
    <row r="1538" spans="3:8" x14ac:dyDescent="0.2">
      <c r="C1538" s="1"/>
      <c r="D1538" s="1"/>
      <c r="E1538" s="1"/>
      <c r="F1538" s="1"/>
      <c r="G1538" s="1"/>
      <c r="H1538" s="1"/>
    </row>
    <row r="1539" spans="3:8" x14ac:dyDescent="0.2">
      <c r="C1539" s="1"/>
      <c r="D1539" s="1"/>
      <c r="E1539" s="1"/>
      <c r="F1539" s="1"/>
      <c r="G1539" s="1"/>
      <c r="H1539" s="1"/>
    </row>
    <row r="1540" spans="3:8" x14ac:dyDescent="0.2">
      <c r="C1540" s="1"/>
      <c r="D1540" s="1"/>
      <c r="E1540" s="1"/>
      <c r="F1540" s="1"/>
      <c r="G1540" s="1"/>
      <c r="H1540" s="1"/>
    </row>
    <row r="1541" spans="3:8" x14ac:dyDescent="0.2">
      <c r="C1541" s="1"/>
      <c r="D1541" s="1"/>
      <c r="E1541" s="1"/>
      <c r="F1541" s="1"/>
      <c r="G1541" s="1"/>
      <c r="H1541" s="1"/>
    </row>
    <row r="1542" spans="3:8" x14ac:dyDescent="0.2">
      <c r="C1542" s="1"/>
      <c r="D1542" s="1"/>
      <c r="E1542" s="1"/>
      <c r="F1542" s="1"/>
      <c r="G1542" s="1"/>
      <c r="H1542" s="1"/>
    </row>
    <row r="1543" spans="3:8" x14ac:dyDescent="0.2">
      <c r="C1543" s="1"/>
      <c r="D1543" s="1"/>
      <c r="E1543" s="1"/>
      <c r="F1543" s="1"/>
      <c r="G1543" s="1"/>
      <c r="H1543" s="1"/>
    </row>
    <row r="1544" spans="3:8" x14ac:dyDescent="0.2">
      <c r="C1544" s="1"/>
      <c r="D1544" s="1"/>
      <c r="E1544" s="1"/>
      <c r="F1544" s="1"/>
      <c r="G1544" s="1"/>
      <c r="H1544" s="1"/>
    </row>
    <row r="1545" spans="3:8" x14ac:dyDescent="0.2">
      <c r="C1545" s="1"/>
      <c r="D1545" s="1"/>
      <c r="E1545" s="1"/>
      <c r="F1545" s="1"/>
      <c r="G1545" s="1"/>
      <c r="H1545" s="1"/>
    </row>
    <row r="1546" spans="3:8" x14ac:dyDescent="0.2">
      <c r="C1546" s="1"/>
      <c r="D1546" s="1"/>
      <c r="E1546" s="1"/>
      <c r="F1546" s="1"/>
      <c r="G1546" s="1"/>
      <c r="H1546" s="1"/>
    </row>
    <row r="1547" spans="3:8" x14ac:dyDescent="0.2">
      <c r="C1547" s="1"/>
      <c r="D1547" s="1"/>
      <c r="E1547" s="1"/>
      <c r="F1547" s="1"/>
      <c r="G1547" s="1"/>
      <c r="H1547" s="1"/>
    </row>
    <row r="1548" spans="3:8" x14ac:dyDescent="0.2">
      <c r="C1548" s="1"/>
      <c r="D1548" s="1"/>
      <c r="E1548" s="1"/>
      <c r="F1548" s="1"/>
      <c r="G1548" s="1"/>
      <c r="H1548" s="1"/>
    </row>
    <row r="1549" spans="3:8" x14ac:dyDescent="0.2">
      <c r="C1549" s="1"/>
      <c r="D1549" s="1"/>
      <c r="E1549" s="1"/>
      <c r="F1549" s="1"/>
      <c r="G1549" s="1"/>
      <c r="H1549" s="1"/>
    </row>
    <row r="1550" spans="3:8" x14ac:dyDescent="0.2">
      <c r="C1550" s="1"/>
      <c r="D1550" s="1"/>
      <c r="E1550" s="1"/>
      <c r="F1550" s="1"/>
      <c r="G1550" s="1"/>
      <c r="H1550" s="1"/>
    </row>
    <row r="1551" spans="3:8" x14ac:dyDescent="0.2">
      <c r="C1551" s="1"/>
      <c r="D1551" s="1"/>
      <c r="E1551" s="1"/>
      <c r="F1551" s="1"/>
      <c r="G1551" s="1"/>
      <c r="H1551" s="1"/>
    </row>
    <row r="1552" spans="3:8" x14ac:dyDescent="0.2">
      <c r="C1552" s="1"/>
      <c r="D1552" s="1"/>
      <c r="E1552" s="1"/>
      <c r="F1552" s="1"/>
      <c r="G1552" s="1"/>
      <c r="H1552" s="1"/>
    </row>
    <row r="1553" spans="3:8" x14ac:dyDescent="0.2">
      <c r="C1553" s="1"/>
      <c r="D1553" s="1"/>
      <c r="E1553" s="1"/>
      <c r="F1553" s="1"/>
      <c r="G1553" s="1"/>
      <c r="H1553" s="1"/>
    </row>
    <row r="1554" spans="3:8" x14ac:dyDescent="0.2">
      <c r="C1554" s="1"/>
      <c r="D1554" s="1"/>
      <c r="E1554" s="1"/>
      <c r="F1554" s="1"/>
      <c r="G1554" s="1"/>
      <c r="H1554" s="1"/>
    </row>
    <row r="1555" spans="3:8" x14ac:dyDescent="0.2">
      <c r="C1555" s="1"/>
      <c r="D1555" s="1"/>
      <c r="E1555" s="1"/>
      <c r="F1555" s="1"/>
      <c r="G1555" s="1"/>
      <c r="H1555" s="1"/>
    </row>
    <row r="1556" spans="3:8" x14ac:dyDescent="0.2">
      <c r="C1556" s="1"/>
      <c r="D1556" s="1"/>
      <c r="E1556" s="1"/>
      <c r="F1556" s="1"/>
      <c r="G1556" s="1"/>
      <c r="H1556" s="1"/>
    </row>
    <row r="1557" spans="3:8" x14ac:dyDescent="0.2">
      <c r="C1557" s="1"/>
      <c r="D1557" s="1"/>
      <c r="E1557" s="1"/>
      <c r="F1557" s="1"/>
      <c r="G1557" s="1"/>
      <c r="H1557" s="1"/>
    </row>
    <row r="1558" spans="3:8" x14ac:dyDescent="0.2">
      <c r="C1558" s="1"/>
      <c r="D1558" s="1"/>
      <c r="E1558" s="1"/>
      <c r="F1558" s="1"/>
      <c r="G1558" s="1"/>
      <c r="H1558" s="1"/>
    </row>
    <row r="1559" spans="3:8" x14ac:dyDescent="0.2">
      <c r="C1559" s="1"/>
      <c r="D1559" s="1"/>
      <c r="E1559" s="1"/>
      <c r="F1559" s="1"/>
      <c r="G1559" s="1"/>
      <c r="H1559" s="1"/>
    </row>
    <row r="1560" spans="3:8" x14ac:dyDescent="0.2">
      <c r="C1560" s="1"/>
      <c r="D1560" s="1"/>
      <c r="E1560" s="1"/>
      <c r="F1560" s="1"/>
      <c r="G1560" s="1"/>
      <c r="H1560" s="1"/>
    </row>
    <row r="1561" spans="3:8" x14ac:dyDescent="0.2">
      <c r="C1561" s="1"/>
      <c r="D1561" s="1"/>
      <c r="E1561" s="1"/>
      <c r="F1561" s="1"/>
      <c r="G1561" s="1"/>
      <c r="H1561" s="1"/>
    </row>
    <row r="1562" spans="3:8" x14ac:dyDescent="0.2">
      <c r="C1562" s="1"/>
      <c r="D1562" s="1"/>
      <c r="E1562" s="1"/>
      <c r="F1562" s="1"/>
      <c r="G1562" s="1"/>
      <c r="H1562" s="1"/>
    </row>
    <row r="1563" spans="3:8" x14ac:dyDescent="0.2">
      <c r="C1563" s="1"/>
      <c r="D1563" s="1"/>
      <c r="E1563" s="1"/>
      <c r="F1563" s="1"/>
      <c r="G1563" s="1"/>
      <c r="H1563" s="1"/>
    </row>
    <row r="1564" spans="3:8" x14ac:dyDescent="0.2">
      <c r="C1564" s="1"/>
      <c r="D1564" s="1"/>
      <c r="E1564" s="1"/>
      <c r="F1564" s="1"/>
      <c r="G1564" s="1"/>
      <c r="H1564" s="1"/>
    </row>
    <row r="1565" spans="3:8" x14ac:dyDescent="0.2">
      <c r="C1565" s="1"/>
      <c r="D1565" s="1"/>
      <c r="E1565" s="1"/>
      <c r="F1565" s="1"/>
      <c r="G1565" s="1"/>
      <c r="H1565" s="1"/>
    </row>
    <row r="1566" spans="3:8" x14ac:dyDescent="0.2">
      <c r="C1566" s="1"/>
      <c r="D1566" s="1"/>
      <c r="E1566" s="1"/>
      <c r="F1566" s="1"/>
      <c r="G1566" s="1"/>
      <c r="H1566" s="1"/>
    </row>
    <row r="1567" spans="3:8" x14ac:dyDescent="0.2">
      <c r="C1567" s="1"/>
      <c r="D1567" s="1"/>
      <c r="E1567" s="1"/>
      <c r="F1567" s="1"/>
      <c r="G1567" s="1"/>
      <c r="H1567" s="1"/>
    </row>
    <row r="1568" spans="3:8" x14ac:dyDescent="0.2">
      <c r="C1568" s="1"/>
      <c r="D1568" s="1"/>
      <c r="E1568" s="1"/>
      <c r="F1568" s="1"/>
      <c r="G1568" s="1"/>
      <c r="H1568" s="1"/>
    </row>
    <row r="1569" spans="3:8" x14ac:dyDescent="0.2">
      <c r="C1569" s="1"/>
      <c r="D1569" s="1"/>
      <c r="E1569" s="1"/>
      <c r="F1569" s="1"/>
      <c r="G1569" s="1"/>
      <c r="H1569" s="1"/>
    </row>
    <row r="1570" spans="3:8" x14ac:dyDescent="0.2">
      <c r="C1570" s="1"/>
      <c r="D1570" s="1"/>
      <c r="E1570" s="1"/>
      <c r="F1570" s="1"/>
      <c r="G1570" s="1"/>
      <c r="H1570" s="1"/>
    </row>
    <row r="1571" spans="3:8" x14ac:dyDescent="0.2">
      <c r="C1571" s="1"/>
      <c r="D1571" s="1"/>
      <c r="E1571" s="1"/>
      <c r="F1571" s="1"/>
      <c r="G1571" s="1"/>
      <c r="H1571" s="1"/>
    </row>
    <row r="1572" spans="3:8" x14ac:dyDescent="0.2">
      <c r="C1572" s="1"/>
      <c r="D1572" s="1"/>
      <c r="E1572" s="1"/>
      <c r="F1572" s="1"/>
      <c r="G1572" s="1"/>
      <c r="H1572" s="1"/>
    </row>
    <row r="1573" spans="3:8" x14ac:dyDescent="0.2">
      <c r="C1573" s="1"/>
      <c r="D1573" s="1"/>
      <c r="E1573" s="1"/>
      <c r="F1573" s="1"/>
      <c r="G1573" s="1"/>
      <c r="H1573" s="1"/>
    </row>
    <row r="1574" spans="3:8" x14ac:dyDescent="0.2">
      <c r="C1574" s="1"/>
      <c r="D1574" s="1"/>
      <c r="E1574" s="1"/>
      <c r="F1574" s="1"/>
      <c r="G1574" s="1"/>
      <c r="H1574" s="1"/>
    </row>
    <row r="1575" spans="3:8" x14ac:dyDescent="0.2">
      <c r="C1575" s="1"/>
      <c r="D1575" s="1"/>
      <c r="E1575" s="1"/>
      <c r="F1575" s="1"/>
      <c r="G1575" s="1"/>
      <c r="H1575" s="1"/>
    </row>
    <row r="1576" spans="3:8" x14ac:dyDescent="0.2">
      <c r="C1576" s="1"/>
      <c r="D1576" s="1"/>
      <c r="E1576" s="1"/>
      <c r="F1576" s="1"/>
      <c r="G1576" s="1"/>
      <c r="H1576" s="1"/>
    </row>
    <row r="1577" spans="3:8" x14ac:dyDescent="0.2">
      <c r="C1577" s="1"/>
      <c r="D1577" s="1"/>
      <c r="E1577" s="1"/>
      <c r="F1577" s="1"/>
      <c r="G1577" s="1"/>
      <c r="H1577" s="1"/>
    </row>
    <row r="1578" spans="3:8" x14ac:dyDescent="0.2">
      <c r="C1578" s="1"/>
      <c r="D1578" s="1"/>
      <c r="E1578" s="1"/>
      <c r="F1578" s="1"/>
      <c r="G1578" s="1"/>
      <c r="H1578" s="1"/>
    </row>
    <row r="1579" spans="3:8" x14ac:dyDescent="0.2">
      <c r="C1579" s="1"/>
      <c r="D1579" s="1"/>
      <c r="E1579" s="1"/>
      <c r="F1579" s="1"/>
      <c r="G1579" s="1"/>
      <c r="H1579" s="1"/>
    </row>
    <row r="1580" spans="3:8" x14ac:dyDescent="0.2">
      <c r="C1580" s="1"/>
      <c r="D1580" s="1"/>
      <c r="E1580" s="1"/>
      <c r="F1580" s="1"/>
      <c r="G1580" s="1"/>
      <c r="H1580" s="1"/>
    </row>
    <row r="1581" spans="3:8" x14ac:dyDescent="0.2">
      <c r="C1581" s="1"/>
      <c r="D1581" s="1"/>
      <c r="E1581" s="1"/>
      <c r="F1581" s="1"/>
      <c r="G1581" s="1"/>
      <c r="H1581" s="1"/>
    </row>
    <row r="1582" spans="3:8" x14ac:dyDescent="0.2">
      <c r="C1582" s="1"/>
      <c r="D1582" s="1"/>
      <c r="E1582" s="1"/>
      <c r="F1582" s="1"/>
      <c r="G1582" s="1"/>
      <c r="H1582" s="1"/>
    </row>
    <row r="1583" spans="3:8" x14ac:dyDescent="0.2">
      <c r="C1583" s="1"/>
      <c r="D1583" s="1"/>
      <c r="E1583" s="1"/>
      <c r="F1583" s="1"/>
      <c r="G1583" s="1"/>
      <c r="H1583" s="1"/>
    </row>
    <row r="1584" spans="3:8" x14ac:dyDescent="0.2">
      <c r="C1584" s="1"/>
      <c r="D1584" s="1"/>
      <c r="E1584" s="1"/>
      <c r="F1584" s="1"/>
      <c r="G1584" s="1"/>
      <c r="H1584" s="1"/>
    </row>
    <row r="1585" spans="3:8" x14ac:dyDescent="0.2">
      <c r="C1585" s="1"/>
      <c r="D1585" s="1"/>
      <c r="E1585" s="1"/>
      <c r="F1585" s="1"/>
      <c r="G1585" s="1"/>
      <c r="H1585" s="1"/>
    </row>
    <row r="1586" spans="3:8" x14ac:dyDescent="0.2">
      <c r="C1586" s="1"/>
      <c r="D1586" s="1"/>
      <c r="E1586" s="1"/>
      <c r="F1586" s="1"/>
      <c r="G1586" s="1"/>
      <c r="H1586" s="1"/>
    </row>
    <row r="1587" spans="3:8" x14ac:dyDescent="0.2">
      <c r="C1587" s="1"/>
      <c r="D1587" s="1"/>
      <c r="E1587" s="1"/>
      <c r="F1587" s="1"/>
      <c r="G1587" s="1"/>
      <c r="H1587" s="1"/>
    </row>
    <row r="1588" spans="3:8" x14ac:dyDescent="0.2">
      <c r="C1588" s="1"/>
      <c r="D1588" s="1"/>
      <c r="E1588" s="1"/>
      <c r="F1588" s="1"/>
      <c r="G1588" s="1"/>
      <c r="H1588" s="1"/>
    </row>
    <row r="1589" spans="3:8" x14ac:dyDescent="0.2">
      <c r="C1589" s="1"/>
      <c r="D1589" s="1"/>
      <c r="E1589" s="1"/>
      <c r="F1589" s="1"/>
      <c r="G1589" s="1"/>
      <c r="H1589" s="1"/>
    </row>
    <row r="1590" spans="3:8" x14ac:dyDescent="0.2">
      <c r="C1590" s="1"/>
      <c r="D1590" s="1"/>
      <c r="E1590" s="1"/>
      <c r="F1590" s="1"/>
      <c r="G1590" s="1"/>
      <c r="H1590" s="1"/>
    </row>
    <row r="1591" spans="3:8" x14ac:dyDescent="0.2">
      <c r="C1591" s="1"/>
      <c r="D1591" s="1"/>
      <c r="E1591" s="1"/>
      <c r="F1591" s="1"/>
      <c r="G1591" s="1"/>
      <c r="H1591" s="1"/>
    </row>
    <row r="1592" spans="3:8" x14ac:dyDescent="0.2">
      <c r="C1592" s="1"/>
      <c r="D1592" s="1"/>
      <c r="E1592" s="1"/>
      <c r="F1592" s="1"/>
      <c r="G1592" s="1"/>
      <c r="H1592" s="1"/>
    </row>
    <row r="1593" spans="3:8" x14ac:dyDescent="0.2">
      <c r="C1593" s="1"/>
      <c r="D1593" s="1"/>
      <c r="E1593" s="1"/>
      <c r="F1593" s="1"/>
      <c r="G1593" s="1"/>
      <c r="H1593" s="1"/>
    </row>
    <row r="1594" spans="3:8" x14ac:dyDescent="0.2">
      <c r="C1594" s="1"/>
      <c r="D1594" s="1"/>
      <c r="E1594" s="1"/>
      <c r="F1594" s="1"/>
      <c r="G1594" s="1"/>
      <c r="H1594" s="1"/>
    </row>
    <row r="1595" spans="3:8" x14ac:dyDescent="0.2">
      <c r="C1595" s="1"/>
      <c r="D1595" s="1"/>
      <c r="E1595" s="1"/>
      <c r="F1595" s="1"/>
      <c r="G1595" s="1"/>
      <c r="H1595" s="1"/>
    </row>
    <row r="1596" spans="3:8" x14ac:dyDescent="0.2">
      <c r="C1596" s="1"/>
      <c r="D1596" s="1"/>
      <c r="E1596" s="1"/>
      <c r="F1596" s="1"/>
      <c r="G1596" s="1"/>
      <c r="H1596" s="1"/>
    </row>
    <row r="1597" spans="3:8" x14ac:dyDescent="0.2">
      <c r="C1597" s="1"/>
      <c r="D1597" s="1"/>
      <c r="E1597" s="1"/>
      <c r="F1597" s="1"/>
      <c r="G1597" s="1"/>
      <c r="H1597" s="1"/>
    </row>
    <row r="1598" spans="3:8" x14ac:dyDescent="0.2">
      <c r="C1598" s="1"/>
      <c r="D1598" s="1"/>
      <c r="E1598" s="1"/>
      <c r="F1598" s="1"/>
      <c r="G1598" s="1"/>
      <c r="H1598" s="1"/>
    </row>
    <row r="1599" spans="3:8" x14ac:dyDescent="0.2">
      <c r="C1599" s="1"/>
      <c r="D1599" s="1"/>
      <c r="E1599" s="1"/>
      <c r="F1599" s="1"/>
      <c r="G1599" s="1"/>
      <c r="H1599" s="1"/>
    </row>
    <row r="1600" spans="3:8" x14ac:dyDescent="0.2">
      <c r="C1600" s="1"/>
      <c r="D1600" s="1"/>
      <c r="E1600" s="1"/>
      <c r="F1600" s="1"/>
      <c r="G1600" s="1"/>
      <c r="H1600" s="1"/>
    </row>
    <row r="1601" spans="3:8" x14ac:dyDescent="0.2">
      <c r="C1601" s="1"/>
      <c r="D1601" s="1"/>
      <c r="E1601" s="1"/>
      <c r="F1601" s="1"/>
      <c r="G1601" s="1"/>
      <c r="H1601" s="1"/>
    </row>
    <row r="1602" spans="3:8" x14ac:dyDescent="0.2">
      <c r="C1602" s="1"/>
      <c r="D1602" s="1"/>
      <c r="E1602" s="1"/>
      <c r="F1602" s="1"/>
      <c r="G1602" s="1"/>
      <c r="H1602" s="1"/>
    </row>
    <row r="1603" spans="3:8" x14ac:dyDescent="0.2">
      <c r="C1603" s="1"/>
      <c r="D1603" s="1"/>
      <c r="E1603" s="1"/>
      <c r="F1603" s="1"/>
      <c r="G1603" s="1"/>
      <c r="H1603" s="1"/>
    </row>
    <row r="1604" spans="3:8" x14ac:dyDescent="0.2">
      <c r="C1604" s="1"/>
      <c r="D1604" s="1"/>
      <c r="E1604" s="1"/>
      <c r="F1604" s="1"/>
      <c r="G1604" s="1"/>
      <c r="H1604" s="1"/>
    </row>
    <row r="1605" spans="3:8" x14ac:dyDescent="0.2">
      <c r="C1605" s="1"/>
      <c r="D1605" s="1"/>
      <c r="E1605" s="1"/>
      <c r="F1605" s="1"/>
      <c r="G1605" s="1"/>
      <c r="H1605" s="1"/>
    </row>
    <row r="1606" spans="3:8" x14ac:dyDescent="0.2">
      <c r="C1606" s="1"/>
      <c r="D1606" s="1"/>
      <c r="E1606" s="1"/>
      <c r="F1606" s="1"/>
      <c r="G1606" s="1"/>
      <c r="H1606" s="1"/>
    </row>
    <row r="1607" spans="3:8" x14ac:dyDescent="0.2">
      <c r="C1607" s="1"/>
      <c r="D1607" s="1"/>
      <c r="E1607" s="1"/>
      <c r="F1607" s="1"/>
      <c r="G1607" s="1"/>
      <c r="H1607" s="1"/>
    </row>
    <row r="1608" spans="3:8" x14ac:dyDescent="0.2">
      <c r="C1608" s="1"/>
      <c r="D1608" s="1"/>
      <c r="E1608" s="1"/>
      <c r="F1608" s="1"/>
      <c r="G1608" s="1"/>
      <c r="H1608" s="1"/>
    </row>
    <row r="1609" spans="3:8" x14ac:dyDescent="0.2">
      <c r="C1609" s="1"/>
      <c r="D1609" s="1"/>
      <c r="E1609" s="1"/>
      <c r="F1609" s="1"/>
      <c r="G1609" s="1"/>
      <c r="H1609" s="1"/>
    </row>
    <row r="1610" spans="3:8" x14ac:dyDescent="0.2">
      <c r="C1610" s="1"/>
      <c r="D1610" s="1"/>
      <c r="E1610" s="1"/>
      <c r="F1610" s="1"/>
      <c r="G1610" s="1"/>
      <c r="H1610" s="1"/>
    </row>
    <row r="1611" spans="3:8" x14ac:dyDescent="0.2">
      <c r="C1611" s="1"/>
      <c r="D1611" s="1"/>
      <c r="E1611" s="1"/>
      <c r="F1611" s="1"/>
      <c r="G1611" s="1"/>
      <c r="H1611" s="1"/>
    </row>
    <row r="1612" spans="3:8" x14ac:dyDescent="0.2">
      <c r="C1612" s="1"/>
      <c r="D1612" s="1"/>
      <c r="E1612" s="1"/>
      <c r="F1612" s="1"/>
      <c r="G1612" s="1"/>
      <c r="H1612" s="1"/>
    </row>
    <row r="1613" spans="3:8" x14ac:dyDescent="0.2">
      <c r="C1613" s="1"/>
      <c r="D1613" s="1"/>
      <c r="E1613" s="1"/>
      <c r="F1613" s="1"/>
      <c r="G1613" s="1"/>
      <c r="H1613" s="1"/>
    </row>
    <row r="1614" spans="3:8" x14ac:dyDescent="0.2">
      <c r="C1614" s="1"/>
      <c r="D1614" s="1"/>
      <c r="E1614" s="1"/>
      <c r="F1614" s="1"/>
      <c r="G1614" s="1"/>
      <c r="H1614" s="1"/>
    </row>
    <row r="1615" spans="3:8" x14ac:dyDescent="0.2">
      <c r="C1615" s="1"/>
      <c r="D1615" s="1"/>
      <c r="E1615" s="1"/>
      <c r="F1615" s="1"/>
      <c r="G1615" s="1"/>
      <c r="H1615" s="1"/>
    </row>
    <row r="1616" spans="3:8" x14ac:dyDescent="0.2">
      <c r="C1616" s="1"/>
      <c r="D1616" s="1"/>
      <c r="E1616" s="1"/>
      <c r="F1616" s="1"/>
      <c r="G1616" s="1"/>
      <c r="H1616" s="1"/>
    </row>
    <row r="1617" spans="3:8" x14ac:dyDescent="0.2">
      <c r="C1617" s="1"/>
      <c r="D1617" s="1"/>
      <c r="E1617" s="1"/>
      <c r="F1617" s="1"/>
      <c r="G1617" s="1"/>
      <c r="H1617" s="1"/>
    </row>
    <row r="1618" spans="3:8" x14ac:dyDescent="0.2">
      <c r="C1618" s="1"/>
      <c r="D1618" s="1"/>
      <c r="E1618" s="1"/>
      <c r="F1618" s="1"/>
      <c r="G1618" s="1"/>
      <c r="H1618" s="1"/>
    </row>
    <row r="1619" spans="3:8" x14ac:dyDescent="0.2">
      <c r="C1619" s="1"/>
      <c r="D1619" s="1"/>
      <c r="E1619" s="1"/>
      <c r="F1619" s="1"/>
      <c r="G1619" s="1"/>
      <c r="H1619" s="1"/>
    </row>
    <row r="1620" spans="3:8" x14ac:dyDescent="0.2">
      <c r="C1620" s="1"/>
      <c r="D1620" s="1"/>
      <c r="E1620" s="1"/>
      <c r="F1620" s="1"/>
      <c r="G1620" s="1"/>
      <c r="H1620" s="1"/>
    </row>
    <row r="1621" spans="3:8" x14ac:dyDescent="0.2">
      <c r="C1621" s="1"/>
      <c r="D1621" s="1"/>
      <c r="E1621" s="1"/>
      <c r="F1621" s="1"/>
      <c r="G1621" s="1"/>
      <c r="H1621" s="1"/>
    </row>
    <row r="1622" spans="3:8" x14ac:dyDescent="0.2">
      <c r="C1622" s="1"/>
      <c r="D1622" s="1"/>
      <c r="E1622" s="1"/>
      <c r="F1622" s="1"/>
      <c r="G1622" s="1"/>
      <c r="H1622" s="1"/>
    </row>
    <row r="1623" spans="3:8" x14ac:dyDescent="0.2">
      <c r="C1623" s="1"/>
      <c r="D1623" s="1"/>
      <c r="E1623" s="1"/>
      <c r="F1623" s="1"/>
      <c r="G1623" s="1"/>
      <c r="H1623" s="1"/>
    </row>
    <row r="1624" spans="3:8" x14ac:dyDescent="0.2">
      <c r="C1624" s="1"/>
      <c r="D1624" s="1"/>
      <c r="E1624" s="1"/>
      <c r="F1624" s="1"/>
      <c r="G1624" s="1"/>
      <c r="H1624" s="1"/>
    </row>
    <row r="1625" spans="3:8" x14ac:dyDescent="0.2">
      <c r="C1625" s="1"/>
      <c r="D1625" s="1"/>
      <c r="E1625" s="1"/>
      <c r="F1625" s="1"/>
      <c r="G1625" s="1"/>
      <c r="H1625" s="1"/>
    </row>
    <row r="1626" spans="3:8" x14ac:dyDescent="0.2">
      <c r="C1626" s="1"/>
      <c r="D1626" s="1"/>
      <c r="E1626" s="1"/>
      <c r="F1626" s="1"/>
      <c r="G1626" s="1"/>
      <c r="H1626" s="1"/>
    </row>
    <row r="1627" spans="3:8" x14ac:dyDescent="0.2">
      <c r="C1627" s="1"/>
      <c r="D1627" s="1"/>
      <c r="E1627" s="1"/>
      <c r="F1627" s="1"/>
      <c r="G1627" s="1"/>
      <c r="H1627" s="1"/>
    </row>
    <row r="1628" spans="3:8" x14ac:dyDescent="0.2">
      <c r="C1628" s="1"/>
      <c r="D1628" s="1"/>
      <c r="E1628" s="1"/>
      <c r="F1628" s="1"/>
      <c r="G1628" s="1"/>
      <c r="H1628" s="1"/>
    </row>
    <row r="1629" spans="3:8" x14ac:dyDescent="0.2">
      <c r="C1629" s="1"/>
      <c r="D1629" s="1"/>
      <c r="E1629" s="1"/>
      <c r="F1629" s="1"/>
      <c r="G1629" s="1"/>
      <c r="H1629" s="1"/>
    </row>
    <row r="1630" spans="3:8" x14ac:dyDescent="0.2">
      <c r="C1630" s="1"/>
      <c r="D1630" s="1"/>
      <c r="E1630" s="1"/>
      <c r="F1630" s="1"/>
      <c r="G1630" s="1"/>
      <c r="H1630" s="1"/>
    </row>
    <row r="1631" spans="3:8" x14ac:dyDescent="0.2">
      <c r="C1631" s="1"/>
      <c r="D1631" s="1"/>
      <c r="E1631" s="1"/>
      <c r="F1631" s="1"/>
      <c r="G1631" s="1"/>
      <c r="H1631" s="1"/>
    </row>
    <row r="1632" spans="3:8" x14ac:dyDescent="0.2">
      <c r="C1632" s="1"/>
      <c r="D1632" s="1"/>
      <c r="E1632" s="1"/>
      <c r="F1632" s="1"/>
      <c r="G1632" s="1"/>
      <c r="H1632" s="1"/>
    </row>
    <row r="1633" spans="3:8" x14ac:dyDescent="0.2">
      <c r="C1633" s="1"/>
      <c r="D1633" s="1"/>
      <c r="E1633" s="1"/>
      <c r="F1633" s="1"/>
      <c r="G1633" s="1"/>
      <c r="H1633" s="1"/>
    </row>
    <row r="1634" spans="3:8" x14ac:dyDescent="0.2">
      <c r="C1634" s="1"/>
      <c r="D1634" s="1"/>
      <c r="E1634" s="1"/>
      <c r="F1634" s="1"/>
      <c r="G1634" s="1"/>
      <c r="H1634" s="1"/>
    </row>
    <row r="1635" spans="3:8" x14ac:dyDescent="0.2">
      <c r="C1635" s="1"/>
      <c r="D1635" s="1"/>
      <c r="E1635" s="1"/>
      <c r="F1635" s="1"/>
      <c r="G1635" s="1"/>
      <c r="H1635" s="1"/>
    </row>
    <row r="1636" spans="3:8" x14ac:dyDescent="0.2">
      <c r="C1636" s="1"/>
      <c r="D1636" s="1"/>
      <c r="E1636" s="1"/>
      <c r="F1636" s="1"/>
      <c r="G1636" s="1"/>
      <c r="H1636" s="1"/>
    </row>
    <row r="1637" spans="3:8" x14ac:dyDescent="0.2">
      <c r="C1637" s="1"/>
      <c r="D1637" s="1"/>
      <c r="E1637" s="1"/>
      <c r="F1637" s="1"/>
      <c r="G1637" s="1"/>
      <c r="H1637" s="1"/>
    </row>
    <row r="1638" spans="3:8" x14ac:dyDescent="0.2">
      <c r="C1638" s="1"/>
      <c r="D1638" s="1"/>
      <c r="E1638" s="1"/>
      <c r="F1638" s="1"/>
      <c r="G1638" s="1"/>
      <c r="H1638" s="1"/>
    </row>
    <row r="1639" spans="3:8" x14ac:dyDescent="0.2">
      <c r="C1639" s="1"/>
      <c r="D1639" s="1"/>
      <c r="E1639" s="1"/>
      <c r="F1639" s="1"/>
      <c r="G1639" s="1"/>
      <c r="H1639" s="1"/>
    </row>
    <row r="1640" spans="3:8" x14ac:dyDescent="0.2">
      <c r="C1640" s="1"/>
      <c r="D1640" s="1"/>
      <c r="E1640" s="1"/>
      <c r="F1640" s="1"/>
      <c r="G1640" s="1"/>
      <c r="H1640" s="1"/>
    </row>
    <row r="1641" spans="3:8" x14ac:dyDescent="0.2">
      <c r="C1641" s="1"/>
      <c r="D1641" s="1"/>
      <c r="E1641" s="1"/>
      <c r="F1641" s="1"/>
      <c r="G1641" s="1"/>
      <c r="H1641" s="1"/>
    </row>
    <row r="1642" spans="3:8" x14ac:dyDescent="0.2">
      <c r="C1642" s="1"/>
      <c r="D1642" s="1"/>
      <c r="E1642" s="1"/>
      <c r="F1642" s="1"/>
      <c r="G1642" s="1"/>
      <c r="H1642" s="1"/>
    </row>
    <row r="1643" spans="3:8" x14ac:dyDescent="0.2">
      <c r="C1643" s="1"/>
      <c r="D1643" s="1"/>
      <c r="E1643" s="1"/>
      <c r="F1643" s="1"/>
      <c r="G1643" s="1"/>
      <c r="H1643" s="1"/>
    </row>
    <row r="1644" spans="3:8" x14ac:dyDescent="0.2">
      <c r="C1644" s="1"/>
      <c r="D1644" s="1"/>
      <c r="E1644" s="1"/>
      <c r="F1644" s="1"/>
      <c r="G1644" s="1"/>
      <c r="H1644" s="1"/>
    </row>
    <row r="1645" spans="3:8" x14ac:dyDescent="0.2">
      <c r="C1645" s="1"/>
      <c r="D1645" s="1"/>
      <c r="E1645" s="1"/>
      <c r="F1645" s="1"/>
      <c r="G1645" s="1"/>
      <c r="H1645" s="1"/>
    </row>
    <row r="1646" spans="3:8" x14ac:dyDescent="0.2">
      <c r="C1646" s="1"/>
      <c r="D1646" s="1"/>
      <c r="E1646" s="1"/>
      <c r="F1646" s="1"/>
      <c r="G1646" s="1"/>
      <c r="H1646" s="1"/>
    </row>
    <row r="1647" spans="3:8" x14ac:dyDescent="0.2">
      <c r="C1647" s="1"/>
      <c r="D1647" s="1"/>
      <c r="E1647" s="1"/>
      <c r="F1647" s="1"/>
      <c r="G1647" s="1"/>
      <c r="H1647" s="1"/>
    </row>
    <row r="1648" spans="3:8" x14ac:dyDescent="0.2">
      <c r="C1648" s="1"/>
      <c r="D1648" s="1"/>
      <c r="E1648" s="1"/>
      <c r="F1648" s="1"/>
      <c r="G1648" s="1"/>
      <c r="H1648" s="1"/>
    </row>
    <row r="1649" spans="3:8" x14ac:dyDescent="0.2">
      <c r="C1649" s="1"/>
      <c r="D1649" s="1"/>
      <c r="E1649" s="1"/>
      <c r="F1649" s="1"/>
      <c r="G1649" s="1"/>
      <c r="H1649" s="1"/>
    </row>
    <row r="1650" spans="3:8" x14ac:dyDescent="0.2">
      <c r="C1650" s="1"/>
      <c r="D1650" s="1"/>
      <c r="E1650" s="1"/>
      <c r="F1650" s="1"/>
      <c r="G1650" s="1"/>
      <c r="H1650" s="1"/>
    </row>
    <row r="1651" spans="3:8" x14ac:dyDescent="0.2">
      <c r="C1651" s="1"/>
      <c r="D1651" s="1"/>
      <c r="E1651" s="1"/>
      <c r="F1651" s="1"/>
      <c r="G1651" s="1"/>
      <c r="H1651" s="1"/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8E1C0CD-261A-481F-A22F-090F1A95F10D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SEPTIEMBRE</vt:lpstr>
      <vt:lpstr>Fuente-NoBorrar</vt:lpstr>
    </vt:vector>
  </TitlesOfParts>
  <Company>Advanzer de México S.A. de C.V.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5.- Estado Analítico de Deuda y Otros Pasivos</dc:title>
  <dc:creator>javier.ynoquio</dc:creator>
  <cp:lastModifiedBy>BALLEZA MACIAS MARIA ELVIA</cp:lastModifiedBy>
  <cp:lastPrinted>2012-11-06T22:45:37Z</cp:lastPrinted>
  <dcterms:created xsi:type="dcterms:W3CDTF">2011-06-09T14:10:53Z</dcterms:created>
  <dcterms:modified xsi:type="dcterms:W3CDTF">2021-10-23T00:15:12Z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5.- Estado Analítico de Deuda y Otros Pasivos(GXKX6C3R37O1VS96ZZ7YJNZU0).xlsx</vt:lpwstr>
  </property>
</Properties>
</file>